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tabRatio="598" activeTab="0"/>
  </bookViews>
  <sheets>
    <sheet name="cbs" sheetId="1" r:id="rId1"/>
    <sheet name="bs(co)" sheetId="2" r:id="rId2"/>
    <sheet name="cbs(w)" sheetId="3" r:id="rId3"/>
    <sheet name="cpl-2date" sheetId="4" r:id="rId4"/>
    <sheet name="cpl-qtr1" sheetId="5" r:id="rId5"/>
    <sheet name="cpl-qtr2" sheetId="6" r:id="rId6"/>
    <sheet name="cpl-qtr3" sheetId="7" r:id="rId7"/>
    <sheet name="cpl-qtr4" sheetId="8" r:id="rId8"/>
    <sheet name="cpl-qtr(b)" sheetId="9" r:id="rId9"/>
    <sheet name="cis" sheetId="10" r:id="rId10"/>
    <sheet name="notes-group" sheetId="11" r:id="rId11"/>
    <sheet name="note-co" sheetId="12" r:id="rId12"/>
    <sheet name="App. A" sheetId="13" r:id="rId13"/>
    <sheet name="app. a-co" sheetId="14" r:id="rId14"/>
    <sheet name="notes-w" sheetId="15" r:id="rId15"/>
    <sheet name="contigent" sheetId="16" r:id="rId16"/>
    <sheet name="cbs-MI" sheetId="17" r:id="rId17"/>
    <sheet name="cpl-cumulative" sheetId="18" r:id="rId18"/>
    <sheet name="cpl-12m(b)" sheetId="19" r:id="rId19"/>
    <sheet name="varqtr" sheetId="20" r:id="rId20"/>
    <sheet name="var12m" sheetId="21" r:id="rId21"/>
    <sheet name="to &amp; pbt" sheetId="22" r:id="rId22"/>
    <sheet name="perform" sheetId="23" r:id="rId23"/>
    <sheet name="year-perf" sheetId="24" r:id="rId24"/>
    <sheet name="extra" sheetId="25" r:id="rId25"/>
    <sheet name="content" sheetId="26" r:id="rId26"/>
    <sheet name="review" sheetId="27" r:id="rId27"/>
    <sheet name="FASC" sheetId="28" r:id="rId28"/>
    <sheet name="copl12.2000" sheetId="29" r:id="rId29"/>
  </sheets>
  <externalReferences>
    <externalReference r:id="rId32"/>
    <externalReference r:id="rId33"/>
    <externalReference r:id="rId34"/>
  </externalReferences>
  <definedNames>
    <definedName name="_xlnm.Print_Area" localSheetId="16">'cbs-MI'!#REF!</definedName>
    <definedName name="_xlnm.Print_Area" localSheetId="10">'notes-group'!$A$1:$S$242</definedName>
    <definedName name="_xlnm.Print_Area" localSheetId="14">'notes-w'!$A$1:$L$109</definedName>
    <definedName name="_xlnm.Print_Titles" localSheetId="12">'App. A'!$1:$11</definedName>
    <definedName name="_xlnm.Print_Titles" localSheetId="13">'app. a-co'!$1:$11</definedName>
    <definedName name="_xlnm.Print_Titles" localSheetId="2">'cbs(w)'!$1:$5</definedName>
    <definedName name="_xlnm.Print_Titles" localSheetId="14">'notes-w'!$1:$8</definedName>
    <definedName name="_xlnm.Print_Titles" localSheetId="22">'perform'!$1:$3</definedName>
  </definedNames>
  <calcPr fullCalcOnLoad="1"/>
</workbook>
</file>

<file path=xl/sharedStrings.xml><?xml version="1.0" encoding="utf-8"?>
<sst xmlns="http://schemas.openxmlformats.org/spreadsheetml/2006/main" count="2277" uniqueCount="1091">
  <si>
    <t>(f)</t>
  </si>
  <si>
    <t>Share of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</si>
  <si>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</si>
  <si>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</si>
  <si>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</si>
  <si>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</si>
  <si>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</si>
  <si>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</si>
  <si>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</si>
  <si>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1. Cash Hotel</t>
  </si>
  <si>
    <t xml:space="preserve">  Charge for the year RM2,165</t>
  </si>
  <si>
    <t>2. LMT</t>
  </si>
  <si>
    <t>3. LMTC</t>
  </si>
  <si>
    <t xml:space="preserve">     100% of the company proft after tax</t>
  </si>
  <si>
    <t xml:space="preserve"> PM</t>
  </si>
  <si>
    <t>Q1 = Quarter 1 (3 months to 31 March 2002)</t>
  </si>
  <si>
    <t>Q2 = Quarter 2 (3 months to 30 June 2002)</t>
  </si>
  <si>
    <t>Q3 = Quarter 3 (3 months to 30 September 2002)</t>
  </si>
  <si>
    <t>Q4 = Quarter 4 (3 months to 31 December 2002)</t>
  </si>
  <si>
    <t xml:space="preserve">The large variance on both revenue and PBT is due to </t>
  </si>
  <si>
    <t>No budget was prepared for PM as the company has not</t>
  </si>
  <si>
    <t xml:space="preserve">undertaken its project development yet. A small PBT has </t>
  </si>
  <si>
    <t>been achieved on fees received from oil palm leasing</t>
  </si>
  <si>
    <t>carried out on PKNP land.</t>
  </si>
  <si>
    <t xml:space="preserve">PREMIUM </t>
  </si>
  <si>
    <t>(I) Profit/(loss) after taxation</t>
  </si>
  <si>
    <t xml:space="preserve">    before deducting minority interests</t>
  </si>
  <si>
    <t>(j)</t>
  </si>
  <si>
    <t>Profit/(loss) after taxation</t>
  </si>
  <si>
    <t>attributable to members of the company</t>
  </si>
  <si>
    <t>(k)</t>
  </si>
  <si>
    <t>(I) Extraordinary items</t>
  </si>
  <si>
    <t>(ii) Less minority interests</t>
  </si>
  <si>
    <t>(iii) Extraordinary items attributable to</t>
  </si>
  <si>
    <t xml:space="preserve">     members of the company</t>
  </si>
  <si>
    <t>(l)</t>
  </si>
  <si>
    <t xml:space="preserve">Profit/(loss) after taxation and </t>
  </si>
  <si>
    <t xml:space="preserve">extraordinary items attributable to </t>
  </si>
  <si>
    <t>members of the company</t>
  </si>
  <si>
    <t>3 (a)</t>
  </si>
  <si>
    <t>Earnings per share based on 2(j) above</t>
  </si>
  <si>
    <t>after deducting any provision for</t>
  </si>
  <si>
    <t xml:space="preserve"> preference dividends, if any:-</t>
  </si>
  <si>
    <t>The figures have not been audited.</t>
  </si>
  <si>
    <t>INDIVIDUAL QUARTER</t>
  </si>
  <si>
    <t>CUMULATIVE QUARTER</t>
  </si>
  <si>
    <t>CURRENT</t>
  </si>
  <si>
    <t>YEAR</t>
  </si>
  <si>
    <t>QUARTER</t>
  </si>
  <si>
    <t>PRECEDING</t>
  </si>
  <si>
    <t>CORRESPONDING</t>
  </si>
  <si>
    <t>TO DATE</t>
  </si>
  <si>
    <t>PRECEDING YEAR</t>
  </si>
  <si>
    <t>PERIOD</t>
  </si>
  <si>
    <t>CONSOLIDATED BALANCE SHEET</t>
  </si>
  <si>
    <t>AS AT</t>
  </si>
  <si>
    <t>END OF</t>
  </si>
  <si>
    <t>FINANCIAL</t>
  </si>
  <si>
    <t>YEAR END</t>
  </si>
  <si>
    <t>RM'000</t>
  </si>
  <si>
    <t>Stocks</t>
  </si>
  <si>
    <t>Development properties</t>
  </si>
  <si>
    <t xml:space="preserve"> </t>
  </si>
  <si>
    <t>Short Term Borrowings</t>
  </si>
  <si>
    <t>Share Premium</t>
  </si>
  <si>
    <t>Revaluation Reserve</t>
  </si>
  <si>
    <t>Reserve on consolidation</t>
  </si>
  <si>
    <t>1.</t>
  </si>
  <si>
    <t>Accounting Policies</t>
  </si>
  <si>
    <t>2.</t>
  </si>
  <si>
    <t>3.</t>
  </si>
  <si>
    <t>Extraordinary Items</t>
  </si>
  <si>
    <t>Exceptional Items</t>
  </si>
  <si>
    <t>4.</t>
  </si>
  <si>
    <t>@20% of PCB share</t>
  </si>
  <si>
    <t xml:space="preserve">    38.84% of profit after tax RM957/-</t>
  </si>
  <si>
    <t>5.</t>
  </si>
  <si>
    <t>6.</t>
  </si>
  <si>
    <t>7.</t>
  </si>
  <si>
    <t>Purchase or Disposal of Quoted Securities</t>
  </si>
  <si>
    <t>8.</t>
  </si>
  <si>
    <t>9.</t>
  </si>
  <si>
    <t>Status of Corporate Proposals</t>
  </si>
  <si>
    <t>10.</t>
  </si>
  <si>
    <t>11.</t>
  </si>
  <si>
    <t>Issuances and Repayment of Debt and Equity Securities</t>
  </si>
  <si>
    <t>12.</t>
  </si>
  <si>
    <t>Group Borrowings and Debt Securities</t>
  </si>
  <si>
    <t>13.</t>
  </si>
  <si>
    <t>14.</t>
  </si>
  <si>
    <t>Off Balance Sheet Risk</t>
  </si>
  <si>
    <t>15.</t>
  </si>
  <si>
    <t>Material Litigation</t>
  </si>
  <si>
    <t>16.</t>
  </si>
  <si>
    <t>Segmental Reporting</t>
  </si>
  <si>
    <t>PERAK CORPORATION BERHAD</t>
  </si>
  <si>
    <t>COMPANY</t>
  </si>
  <si>
    <t>PCB DEV</t>
  </si>
  <si>
    <t>ANAKKU</t>
  </si>
  <si>
    <t>BTE</t>
  </si>
  <si>
    <t>CASH</t>
  </si>
  <si>
    <t>LMT</t>
  </si>
  <si>
    <t>TAIPAN</t>
  </si>
  <si>
    <t>TRANS</t>
  </si>
  <si>
    <t>MAGNI</t>
  </si>
  <si>
    <t>TOTAL</t>
  </si>
  <si>
    <t>ADJUSTMENTS</t>
  </si>
  <si>
    <t>PCB</t>
  </si>
  <si>
    <t>SUBS</t>
  </si>
  <si>
    <t xml:space="preserve">GROUP </t>
  </si>
  <si>
    <t>HOTEL</t>
  </si>
  <si>
    <t>BID</t>
  </si>
  <si>
    <t>50%+1 share</t>
  </si>
  <si>
    <t>Dr</t>
  </si>
  <si>
    <t>Cr</t>
  </si>
  <si>
    <t xml:space="preserve">ANAKKU </t>
  </si>
  <si>
    <t xml:space="preserve">CASH </t>
  </si>
  <si>
    <t>ADJ</t>
  </si>
  <si>
    <t>CONSOL</t>
  </si>
  <si>
    <t>Current Assets</t>
  </si>
  <si>
    <t>Cash at bank</t>
  </si>
  <si>
    <t>Fixed deposits &amp; repo</t>
  </si>
  <si>
    <t>Due from related co.</t>
  </si>
  <si>
    <t xml:space="preserve">(b) The group profit before taxation recorded an increase of 20% than that of the same period in 2001 from RM6.3 </t>
  </si>
  <si>
    <t xml:space="preserve">      million to RM7.9 million PBT in the period . This show an improvement of performance in the main </t>
  </si>
  <si>
    <t xml:space="preserve">      segmental activities during the period as well as the quarter which resulted from cut cost of operation.</t>
  </si>
  <si>
    <t xml:space="preserve">(c) The earnings per share has decreased from 5.5 sen in the period 2001 to loss of 4.7 sen in the same period in 2002 </t>
  </si>
  <si>
    <t xml:space="preserve">      due to apportioned to Minority Interest.</t>
  </si>
  <si>
    <t>The revenue and profit before tax (PBT) amounted to RM1.3 million and RM1.1million are higher  with that of 2001 quarter .</t>
  </si>
  <si>
    <t>in PBT. The results for the current quarter under review has show an improvement of more than 22% as for the period</t>
  </si>
  <si>
    <t xml:space="preserve">the revenue of the company has reduced from 15.5million in 2001 to RM9.5million in 2002. The results for the period </t>
  </si>
  <si>
    <t xml:space="preserve"> in 2001 were due to higher percentage of completion sales value recognised on the various phases of projects in </t>
  </si>
  <si>
    <t>Bandar Meru Raya and Chepor besides the squatter problems has been resolved.</t>
  </si>
  <si>
    <t xml:space="preserve">Anakku Group of Companies reported a decrease of 1.1% in revenue from RM27.2 million in the financial quarter 2001 </t>
  </si>
  <si>
    <t>to RM26.8 million in the current quarter. The decrease has resulted a decrease for the period as compared with the same</t>
  </si>
  <si>
    <t>period in the previous year. This is due to the tight liquidity in the retail sector which have effect the company's revenue.</t>
  </si>
  <si>
    <t xml:space="preserve">corresponding quarter in 2001. The revenue for the sixth months period shows an increase of 11.6% compared with the </t>
  </si>
  <si>
    <t>corresponding period.  A profit of RM0.9million was recorded in the period under review as opposed to a profit of RM0.6</t>
  </si>
  <si>
    <t xml:space="preserve">million in the quarter 2001 and for the period shows an increase of 90.6%. </t>
  </si>
  <si>
    <t xml:space="preserve">PBT for the current quarter has been recorded at RM0.5million as compared to a profit of RM0.8 million in the </t>
  </si>
  <si>
    <t>corresponding quarter 2001 due to dividend on preference shares of RM1.2million proposed during the quarter. PBT</t>
  </si>
  <si>
    <t xml:space="preserve">mentioned above. </t>
  </si>
  <si>
    <t xml:space="preserve">for the period reported an increase from RM4.7million to RM8.4million in the current period resulted from the factors </t>
  </si>
  <si>
    <t>due to dividend  received earlier than  that budgeted  for.</t>
  </si>
  <si>
    <t>Revenue was mainly derived from higher percentage of completion</t>
  </si>
  <si>
    <t>Raya and Chepor besides the squatter problems has been resolved.</t>
  </si>
  <si>
    <t>sales value recognised on the various phases of projects in Bandar Meru</t>
  </si>
  <si>
    <t xml:space="preserve">Revenue has a negative variance of 13% due to tight liquidity in retail </t>
  </si>
  <si>
    <t>sector which have effect the company's revenue .</t>
  </si>
  <si>
    <t xml:space="preserve">Revenue is increased by 8% compared with budget . The hotel shall </t>
  </si>
  <si>
    <t>continue to strive for better services but the performance would relay</t>
  </si>
  <si>
    <t xml:space="preserve">more on the pickup of the company industry or quick recovery of the </t>
  </si>
  <si>
    <t>global investment outlook.</t>
  </si>
  <si>
    <t>Revenue fell short of 38% than that of budgeted due to lower land sales</t>
  </si>
  <si>
    <t xml:space="preserve">recognised and cargo throughtput incurred than that of  budgeted. The </t>
  </si>
  <si>
    <t>delay impact of LBT's contribution has resulted the temporary shortfall.</t>
  </si>
  <si>
    <t>achieved only 10 acres  land sales.</t>
  </si>
  <si>
    <t xml:space="preserve">As to date out of 50 acres as budgeted land sales  the company have </t>
  </si>
  <si>
    <t xml:space="preserve">  38.84% of profit after tax RM582/-</t>
  </si>
  <si>
    <t xml:space="preserve">    49.99% of profit after tax RM5,550/-</t>
  </si>
  <si>
    <t xml:space="preserve">       (f)</t>
  </si>
  <si>
    <t>(h))</t>
  </si>
  <si>
    <t>(h )</t>
  </si>
  <si>
    <t>of 22%.</t>
  </si>
  <si>
    <t xml:space="preserve">Overall PAT after MI, slightly decrease </t>
  </si>
  <si>
    <t>Due from penultimate holding co.</t>
  </si>
  <si>
    <t>Due from holding co.</t>
  </si>
  <si>
    <t>Current Liabilities</t>
  </si>
  <si>
    <t>Proposed dividends</t>
  </si>
  <si>
    <t>Due to subs</t>
  </si>
  <si>
    <t>Due to related co.</t>
  </si>
  <si>
    <t>Due to holding co.</t>
  </si>
  <si>
    <t>Net current assets/(liabilities)</t>
  </si>
  <si>
    <t>INVESTMENT - OTHER</t>
  </si>
  <si>
    <t>respectively.</t>
  </si>
  <si>
    <t>Cost b/f less amortisation as at 1.1.2001 (3,992-1210)</t>
  </si>
  <si>
    <t>INVESTMENT - PREFERENCE</t>
  </si>
  <si>
    <t>INVESTMENT - ASSOCIATE</t>
  </si>
  <si>
    <t>INVESTMENT - SUBS</t>
  </si>
  <si>
    <t>FIXED ASSETS</t>
  </si>
  <si>
    <t>DEFERRED TAXATION</t>
  </si>
  <si>
    <t>DEFERRED EXPENDITURE</t>
  </si>
  <si>
    <t>LAND &amp; DEVELOPMENT EXP</t>
  </si>
  <si>
    <t>GOODWILL ON CONSOL</t>
  </si>
  <si>
    <t>LONG TERM BORROWINGS</t>
  </si>
  <si>
    <t>INTANGIBLE ASSETS</t>
  </si>
  <si>
    <t>HP &amp; LEASE CREDITORS</t>
  </si>
  <si>
    <t>MINORITY INTERESTS</t>
  </si>
  <si>
    <t>SINKING FUND ACCOUNT</t>
  </si>
  <si>
    <t>SHAREHOLDERS FUNDS</t>
  </si>
  <si>
    <t>Share Capital - ordinary</t>
  </si>
  <si>
    <t xml:space="preserve">                      -  preference</t>
  </si>
  <si>
    <t>Capital Reserve</t>
  </si>
  <si>
    <t>Grp share</t>
  </si>
  <si>
    <t>Rounding error</t>
  </si>
  <si>
    <t>16. Deferred Taxation</t>
  </si>
  <si>
    <t xml:space="preserve">   on behalf of a subsidiary which was</t>
  </si>
  <si>
    <t xml:space="preserve">The Group is currently in the process of being released from the said guarantees, which shall be taken over </t>
  </si>
  <si>
    <t>Township  development</t>
  </si>
  <si>
    <t>PROFORMA GROUP FINANCIAL RESULTS FOR THE CURRENT YEAR QUARTER/YEAR ENDED 30 JUNE 2002</t>
  </si>
  <si>
    <t>at latest practicable date</t>
  </si>
  <si>
    <t>Contingent liabilities PCBD/ANK</t>
  </si>
  <si>
    <t>Performance guarantee - BTE</t>
  </si>
  <si>
    <t>PCB, Cash Hotel and LMT exceeded their</t>
  </si>
  <si>
    <t>Detail of calculation (Invest in KLPB)</t>
  </si>
  <si>
    <t>16. Net tangible assets per share (sen)</t>
  </si>
  <si>
    <t xml:space="preserve">budgets by 76%, 31% and 4% </t>
  </si>
  <si>
    <t>PCBD and Anakku fell short of their</t>
  </si>
  <si>
    <t>budgets by 25% and 15% respectively.</t>
  </si>
  <si>
    <t>budget due to dividend and income from</t>
  </si>
  <si>
    <t xml:space="preserve">PCB achieved a PBT of RM2.0m as </t>
  </si>
  <si>
    <t>opposed to budget of RM1.0 m due to</t>
  </si>
  <si>
    <t>and from Anakku &amp; PCBD (RM1394k).</t>
  </si>
  <si>
    <t>Anakku made RM1.3m out of its RM7.3m</t>
  </si>
  <si>
    <t>Cash Hotel made a PBT of RM132k as</t>
  </si>
  <si>
    <t>opposed to budgeted loss of (RM1.7m)</t>
  </si>
  <si>
    <t xml:space="preserve">PCBD  fell short of their </t>
  </si>
  <si>
    <t>budgeted PBT by 29% due to project</t>
  </si>
  <si>
    <t>delay, shortage of demand.</t>
  </si>
  <si>
    <t xml:space="preserve">LMT exceeded its PBT by 7%. </t>
  </si>
  <si>
    <t>for the year ended 31 December 2001</t>
  </si>
  <si>
    <t>others</t>
  </si>
  <si>
    <t>Consol adj - div/fee</t>
  </si>
  <si>
    <t>Transfer (to)/ from deferred taxation</t>
  </si>
  <si>
    <t>Trade receivables</t>
  </si>
  <si>
    <t>Other receivables &amp; prepayments</t>
  </si>
  <si>
    <t>Trade payables</t>
  </si>
  <si>
    <t>MI for the period</t>
  </si>
  <si>
    <t>Per 2001 accounts</t>
  </si>
  <si>
    <t>(at co. level)</t>
  </si>
  <si>
    <t>Profit/(loss) after tax</t>
  </si>
  <si>
    <t>MI share</t>
  </si>
  <si>
    <t xml:space="preserve">           year 2001</t>
  </si>
  <si>
    <t>(1 of 4)</t>
  </si>
  <si>
    <t>are consistent with that of the audited financial statements for the financial year ended 31 December, 2001.</t>
  </si>
  <si>
    <t>There were no exceptional items for the current financial year to date.</t>
  </si>
  <si>
    <t>There were no extraordinary items for the current  financial year to date.</t>
  </si>
  <si>
    <t xml:space="preserve">The effective tax rate on the Group's profit is higher than the statutory tax rate principally due to certain </t>
  </si>
  <si>
    <t>expenses being disallowed for tax  purposes  and the losses incurred by certain subsidiaries.</t>
  </si>
  <si>
    <t>for the current financial year to date.</t>
  </si>
  <si>
    <t>(a) There were no purchase or disposal of quoted securities in the current financial year to date.</t>
  </si>
  <si>
    <t>There were no changes in the composition of the Group for the current financial year to date including</t>
  </si>
  <si>
    <t>(2 of 4)</t>
  </si>
  <si>
    <t>There were no corporate proposals announced but not completed as at the latest practicable date and the date</t>
  </si>
  <si>
    <t xml:space="preserve"> of this announcement.</t>
  </si>
  <si>
    <t>There were no issuance and repayment of debt securities, share buy-backs, share cancellations, shares held</t>
  </si>
  <si>
    <t xml:space="preserve"> as treasury shares and resale of treasury shares for the current financial year to date.</t>
  </si>
  <si>
    <t>(3 of 4)</t>
  </si>
  <si>
    <t>**</t>
  </si>
  <si>
    <t>The financial assistance is in respect of an infrastructure contract being performed  by the third party to  facilitate</t>
  </si>
  <si>
    <t xml:space="preserve"> the ordinary course of business of the subsidiary.</t>
  </si>
  <si>
    <t>For details on segmental information, please refer to Appendix A.</t>
  </si>
  <si>
    <t>In the opinion of the Directors, the results of the Group for the current financial year to date have not been</t>
  </si>
  <si>
    <t>affected by any transaction or event of a material or unusual nature.</t>
  </si>
  <si>
    <t>CONSOLIDATED BALANCE SHEET AS AT 30 JUNE 2002</t>
  </si>
  <si>
    <t>PROFORMA GROUP FINANCIAL RESULTS FOR THE QUARTER ENDED 30 JUNE 2002</t>
  </si>
  <si>
    <t>PROFORMA GROUP FINANCIAL RESULTS FOR THE PERIOD ENDED 30 JUNE 2002</t>
  </si>
  <si>
    <t>Retained profit @ 30/6/2002</t>
  </si>
  <si>
    <t xml:space="preserve">Save as disclosed in Note 15, the Group's operations are not materially affected by seasonal or cyclicality factors. </t>
  </si>
  <si>
    <t>However, there is a compensating effect on its results due to the performance of the various segmental activities</t>
  </si>
  <si>
    <t xml:space="preserve"> of the Group.</t>
  </si>
  <si>
    <t>its segmental activities in the ordinary course of business for the current  financial year 2002.</t>
  </si>
  <si>
    <t>No dividend has been declared in respect of the current financial year to date.</t>
  </si>
  <si>
    <t xml:space="preserve">Save as disclosed in Note 11, during the current quarter, there was no financial assistance provided by the </t>
  </si>
  <si>
    <t xml:space="preserve">Company or its subsidiaries to persons to whom the provision of financial assistance is necessary to facilitate </t>
  </si>
  <si>
    <t>the ordinary course of business of the Company or its subsidiaries.</t>
  </si>
  <si>
    <t xml:space="preserve">Exceptional items </t>
  </si>
  <si>
    <t>(APPENDIX A)</t>
  </si>
  <si>
    <t>Segmental  information</t>
  </si>
  <si>
    <t>The segmental information applicable to the Group is as follows:</t>
  </si>
  <si>
    <t>Analysis of Activity:</t>
  </si>
  <si>
    <t xml:space="preserve">Manufacturing </t>
  </si>
  <si>
    <t>Hotel and</t>
  </si>
  <si>
    <t xml:space="preserve">Infrastructure </t>
  </si>
  <si>
    <t>Township</t>
  </si>
  <si>
    <t xml:space="preserve">Management </t>
  </si>
  <si>
    <t>Eliminations</t>
  </si>
  <si>
    <t>Consolidated</t>
  </si>
  <si>
    <t>and consumer</t>
  </si>
  <si>
    <t>tourism</t>
  </si>
  <si>
    <t>development</t>
  </si>
  <si>
    <t xml:space="preserve">services and </t>
  </si>
  <si>
    <t>products</t>
  </si>
  <si>
    <t>REVENUE AND EXPENSES</t>
  </si>
  <si>
    <t>External revenue</t>
  </si>
  <si>
    <t>Inter-segment revenue</t>
  </si>
  <si>
    <t>Total revenue</t>
  </si>
  <si>
    <t>Result</t>
  </si>
  <si>
    <t>Segment results</t>
  </si>
  <si>
    <t xml:space="preserve">Unallocated corporate </t>
  </si>
  <si>
    <t xml:space="preserve">      expenses</t>
  </si>
  <si>
    <t>Profit from operations</t>
  </si>
  <si>
    <t>Finance costs</t>
  </si>
  <si>
    <t>Share of results of</t>
  </si>
  <si>
    <t xml:space="preserve">     associated companies</t>
  </si>
  <si>
    <t>Profit after taxation</t>
  </si>
  <si>
    <t>Segmental information</t>
  </si>
  <si>
    <t>ASSETS AND LIABILITIES</t>
  </si>
  <si>
    <t>Segments assets</t>
  </si>
  <si>
    <t>Investment in equity method</t>
  </si>
  <si>
    <t>of associates</t>
  </si>
  <si>
    <t>Consolidated total assets</t>
  </si>
  <si>
    <t>Segments liabilities</t>
  </si>
  <si>
    <t>Consolidated total liabilities</t>
  </si>
  <si>
    <t>OTHER INFORMATIONS</t>
  </si>
  <si>
    <t>Capital expenditure</t>
  </si>
  <si>
    <t>Depreciation &amp; amortisation</t>
  </si>
  <si>
    <t xml:space="preserve">Non-Cash expenses other </t>
  </si>
  <si>
    <t xml:space="preserve">than depreciation and </t>
  </si>
  <si>
    <t xml:space="preserve">amortisation </t>
  </si>
  <si>
    <t>-gain on disposal of</t>
  </si>
  <si>
    <t>Amortisation (6 months)</t>
  </si>
  <si>
    <t>Credited to inc. statement (6 mths)</t>
  </si>
  <si>
    <t>Proof of MI as at 30 June 2002</t>
  </si>
  <si>
    <t>Hotel</t>
  </si>
  <si>
    <t xml:space="preserve">    38.84% of profit after tax RM715/-</t>
  </si>
  <si>
    <t xml:space="preserve">    RM 278/-</t>
  </si>
  <si>
    <t xml:space="preserve">   49.99% of profit after tax RM2,964/-</t>
  </si>
  <si>
    <t xml:space="preserve">    RM1,482</t>
  </si>
  <si>
    <t>3. LMT Capital</t>
  </si>
  <si>
    <t xml:space="preserve">  Pro-rate for 3 months RM541.25</t>
  </si>
  <si>
    <t xml:space="preserve">  Charge for the year RM2165/-</t>
  </si>
  <si>
    <t xml:space="preserve"> Cumulative for the 6 months RM1083/-</t>
  </si>
  <si>
    <t>Dividend paid</t>
  </si>
  <si>
    <t>Share of losses (6 mths)</t>
  </si>
  <si>
    <t>Retained loss (31/1/02)(1 mth)</t>
  </si>
  <si>
    <t>Retained loss (31/3/02)(2 mths)</t>
  </si>
  <si>
    <t>Retained loss (30/6/02)(3 mths)</t>
  </si>
  <si>
    <t xml:space="preserve">TRANS </t>
  </si>
  <si>
    <t xml:space="preserve">PCB </t>
  </si>
  <si>
    <t>DEV</t>
  </si>
  <si>
    <t xml:space="preserve"> quoted shares</t>
  </si>
  <si>
    <t>-others</t>
  </si>
  <si>
    <t>Details have been presented to comply with MASB 22.</t>
  </si>
  <si>
    <t xml:space="preserve">A loss of RM42k has been recorded as a result of water privatisation </t>
  </si>
  <si>
    <t xml:space="preserve">      The results achieved by the companies within the Group as follows:</t>
  </si>
  <si>
    <t>project expenditure written off.</t>
  </si>
  <si>
    <t>LMTC results(restricted to their share of profit in the 1st qtr, 50% x 264)</t>
  </si>
  <si>
    <t xml:space="preserve">   50% of loss ( share of profit after tax in 1st qtr) RM264/-</t>
  </si>
  <si>
    <t>RM132/-</t>
  </si>
  <si>
    <t xml:space="preserve">REVIEW OF RESULTS FOR THE SECOND QUARTER  ENDED 30 JUNE 2002 </t>
  </si>
  <si>
    <t xml:space="preserve">(a) The group revenue of RM45.4 million (2001: RM42.4 million) achieved during the quarter represented an </t>
  </si>
  <si>
    <t xml:space="preserve">      increase of 7% over the corresponding quarter of 2001 with the Anakku subsidiaries contributing RM26.8</t>
  </si>
  <si>
    <t xml:space="preserve">     million (59%) and the balance by the Company (2.8%), PCB Development (17.5%), Cash (11%) and LMT (14.6%).</t>
  </si>
  <si>
    <t xml:space="preserve">      Loss before tax of   Transbid (RM0.04million)  and PBT of LMT (RM3.8 million), PCBD (RM1.9 million), Anakku </t>
  </si>
  <si>
    <t xml:space="preserve">      subsidiaries (RM1.9 million), Cash(RM0.7million) and and the Company (RM1.4 million)  </t>
  </si>
  <si>
    <t xml:space="preserve">(d) The net tangible assets per share as at 30 June 2002 showed a slight increase at RM4.13 as compared to RM4.06 </t>
  </si>
  <si>
    <t xml:space="preserve">     based on the balance sheet position at the last financial year end 31 December 2001.</t>
  </si>
  <si>
    <t xml:space="preserve">The income of the company was derived from the rental of Wisma Wan Mohamed to PKNP and unexpected dividend </t>
  </si>
  <si>
    <t>received in advance compared with the corresponding period of 2001.</t>
  </si>
  <si>
    <t xml:space="preserve">PCB Development's contributions to the revenue and profitability to the Group are at RM7.9million and RM1.7 million </t>
  </si>
  <si>
    <t xml:space="preserve">respectively, as compared to that of the corresponding year 2001 with RM6.2 million in revenue and RM0.1million </t>
  </si>
  <si>
    <t>Profit before tax is recorded at RM4.1million in financial period 2002 as compared to RM3.6million PBT made during</t>
  </si>
  <si>
    <t xml:space="preserve">CHSB recorded a revenue  of RM5.2 million for the financial quarter 2002 as compared to RM4.4 million in the </t>
  </si>
  <si>
    <t xml:space="preserve">Although competition is very stiff, the hotel shall continue to strive for better service, the performance would relay more on the </t>
  </si>
  <si>
    <t>pickup of the company industry or quick recovery of the global investment outlook.</t>
  </si>
  <si>
    <t>LMT reported an increase in revenue from RM2.7 million in the financial quarter 2001 to RM4.8 million during</t>
  </si>
  <si>
    <t xml:space="preserve">the current quarter 2002. The 44% growth was attributed to increase in port  thoroughput, contribution from container </t>
  </si>
  <si>
    <t xml:space="preserve">feeder services, variable tonnage, based operating payment, fixed payment and moblilisation fees derived from the Lekir Bulk </t>
  </si>
  <si>
    <t>Terminal (LBT) Operations and Maintenance contract. The increase in revenue has mainly been contributed from</t>
  </si>
  <si>
    <t>variable tonnage, based operating payment and fixed payment which commenced during the quarter by 500% (to RM1.7million)</t>
  </si>
  <si>
    <t xml:space="preserve">     For the whole period, the group revenue recorded a decrease of 10% from RM82.1 million to RM73.8million </t>
  </si>
  <si>
    <t xml:space="preserve">     compared with the preceding period, showing that the Group still need to strive for better performance in the next quarter. </t>
  </si>
  <si>
    <t>Proof of MI as at 31 -3- 2002</t>
  </si>
  <si>
    <t xml:space="preserve">   50% of loss after tax RM793/-</t>
  </si>
  <si>
    <t xml:space="preserve">Income mainly from leasing of palm oil land, and small profit has been </t>
  </si>
  <si>
    <t>recorded.</t>
  </si>
  <si>
    <t>FINANCIAL RESULTS FOR THE FINANCIAL YEAR ENDED 31 DECEMBER 2001</t>
  </si>
  <si>
    <t>Review of Results for the Quarter/ Year Ended 31 December 2001</t>
  </si>
  <si>
    <t>Proforma Group Financial Results for the Year Ended 31 December 2001</t>
  </si>
  <si>
    <t>Variance Analysis Report: Profit and Loss 12 Months Ended 31 December 2001</t>
  </si>
  <si>
    <t>Variance Analysis: Actual vs Budgeted Results 12 Months Ended 31 December 2001</t>
  </si>
  <si>
    <t>Consolidated Balance Sheet as at 31 December 2001</t>
  </si>
  <si>
    <t>Summary of Financial Performance of the Group for the 12 Months Ended</t>
  </si>
  <si>
    <t>31 December 2001 (Revenue: Actual vs Budget) - Graph</t>
  </si>
  <si>
    <t>31 December 2001 (Profit Before Taxation: Actual vs Budget) - Graph</t>
  </si>
  <si>
    <t>QUARTERLY REPORT FOR THE THIRD QUARTER ENDED 31 DECEMBER 2001</t>
  </si>
  <si>
    <t>Notes to the Quarterly Report - 31 December 2001</t>
  </si>
  <si>
    <t>13-17</t>
  </si>
  <si>
    <t>BUDGET 2002</t>
  </si>
  <si>
    <t>b/f</t>
  </si>
  <si>
    <t>AC &amp; BOD Meetings dated 26 February 2002</t>
  </si>
  <si>
    <t>Agenda 3 &amp; 4 Appendices</t>
  </si>
  <si>
    <t>Reserve on consol</t>
  </si>
  <si>
    <t>Retained profits/(accum losses)</t>
  </si>
  <si>
    <t>Total</t>
  </si>
  <si>
    <t>17.</t>
  </si>
  <si>
    <t>18.</t>
  </si>
  <si>
    <t>19.</t>
  </si>
  <si>
    <t>Current Year Prospects</t>
  </si>
  <si>
    <t>20.</t>
  </si>
  <si>
    <t>Profit Variation/Shortfall in the Profit Guarantee</t>
  </si>
  <si>
    <t>21.</t>
  </si>
  <si>
    <t>Dividend</t>
  </si>
  <si>
    <t>Management services and others</t>
  </si>
  <si>
    <t>Profit/(Loss)</t>
  </si>
  <si>
    <t>(a)</t>
  </si>
  <si>
    <t>Secured:</t>
  </si>
  <si>
    <t>Bank overdrafts</t>
  </si>
  <si>
    <t>Trust receipts</t>
  </si>
  <si>
    <t>Unsecured:</t>
  </si>
  <si>
    <t>As at</t>
  </si>
  <si>
    <t>(b)</t>
  </si>
  <si>
    <t>Long Term Borrowings</t>
  </si>
  <si>
    <t>Term loans</t>
  </si>
  <si>
    <t>Revolving credit*</t>
  </si>
  <si>
    <t>Repayments due within 12 months included in short term</t>
  </si>
  <si>
    <t>Less:</t>
  </si>
  <si>
    <t>(in RM'000)</t>
  </si>
  <si>
    <t>1(a)</t>
  </si>
  <si>
    <t>Other income incl int inc</t>
  </si>
  <si>
    <t>(c )</t>
  </si>
  <si>
    <t>2(a)</t>
  </si>
  <si>
    <t>(d)</t>
  </si>
  <si>
    <t>(e)</t>
  </si>
  <si>
    <t>Operating profit / (loss)</t>
  </si>
  <si>
    <t>Operating profit/(loss) etc</t>
  </si>
  <si>
    <t>Share of results of assoc. cos</t>
  </si>
  <si>
    <t>Profit/(loss) before tax, MI etc</t>
  </si>
  <si>
    <t>(i )</t>
  </si>
  <si>
    <t xml:space="preserve">(i ) Profit/(loss) after tax </t>
  </si>
  <si>
    <t xml:space="preserve">     before MI</t>
  </si>
  <si>
    <t>Retained profits @ 1/1/2002</t>
  </si>
  <si>
    <t>The segmental information applicable to the company is as follows:</t>
  </si>
  <si>
    <t>Total assets</t>
  </si>
  <si>
    <t>Total liabilities</t>
  </si>
  <si>
    <t>(ii) Less MI</t>
  </si>
  <si>
    <t>CG - BTE/ LSR to Consobiz</t>
  </si>
  <si>
    <t>Guarantee given to a bank in respect of financial assistance</t>
  </si>
  <si>
    <t xml:space="preserve">   </t>
  </si>
  <si>
    <t xml:space="preserve">   provided by a subsidiary to a third party (see note 22, below)</t>
  </si>
  <si>
    <t>business combination, acquisition or disposal of subsidiaries  and long term investments, restructuring</t>
  </si>
  <si>
    <t>attributable to members of co.</t>
  </si>
  <si>
    <t>Investment Income</t>
  </si>
  <si>
    <t>Review of Performance of the Company and its Principal Subsidiaries</t>
  </si>
  <si>
    <t>ADVANCES TO SUBS/FROM H.CO.</t>
  </si>
  <si>
    <t>Due to corporate shareholder</t>
  </si>
  <si>
    <t>*</t>
  </si>
  <si>
    <t>WORKINGS TO NOTES TO THE ACCOUNTS</t>
  </si>
  <si>
    <t>no.</t>
  </si>
  <si>
    <t>Prior year</t>
  </si>
  <si>
    <t>Taxation - individual quarter</t>
  </si>
  <si>
    <t>Taxation - cumulative quarter</t>
  </si>
  <si>
    <t xml:space="preserve">Group Borrowings and </t>
  </si>
  <si>
    <t>debt securities</t>
  </si>
  <si>
    <t>Bank overdraft</t>
  </si>
  <si>
    <t xml:space="preserve">The Company  is currently in the process of being released from the said guarantees, which shall be taken over </t>
  </si>
  <si>
    <t>Changes in the Composition of the Company</t>
  </si>
  <si>
    <t>There were no changes in the composition of the Company for the current financial year to date including</t>
  </si>
  <si>
    <t>None of the Company borrowings is denominated in foreign currency.</t>
  </si>
  <si>
    <t>Review of Performance of the Company</t>
  </si>
  <si>
    <t xml:space="preserve">For the financial quarter, the Company recorded a revenue of RM1.8 million and a profit before taxation of  RM1.4 </t>
  </si>
  <si>
    <t xml:space="preserve">The profit margin has improve due to external sourcing from outside Malaysia on apparel in order to offset the margin </t>
  </si>
  <si>
    <t>squeeze by local retailers.</t>
  </si>
  <si>
    <t xml:space="preserve">     (Closing market price @ 15/8/2002: RM1.44 )</t>
  </si>
  <si>
    <t xml:space="preserve">The Company made a profit before taxation of RM1.1 million for the quarter ended 30 June 2002 as compared </t>
  </si>
  <si>
    <t xml:space="preserve">to the preceding quarter ended 31 March  2002 which made a profit before taxation of RM0.7 million.  The </t>
  </si>
  <si>
    <t xml:space="preserve">improvement is due to better profit margin of the manufacturing and consumer products sector and higher </t>
  </si>
  <si>
    <t>percentage of completion recognised by the township development sector.</t>
  </si>
  <si>
    <t xml:space="preserve">Anyway, PBT  shows an increase of more than 100% due to better profit </t>
  </si>
  <si>
    <t xml:space="preserve">margin as a result of external sourcing  of apparel from  outside Malaysia </t>
  </si>
  <si>
    <t xml:space="preserve">in order to offset margin squeeze by local retailers. </t>
  </si>
  <si>
    <t>Revolving credits</t>
  </si>
  <si>
    <t>Short term borrowings</t>
  </si>
  <si>
    <t>Long term borrowings</t>
  </si>
  <si>
    <t>Less Minority Int.</t>
  </si>
  <si>
    <t xml:space="preserve">                         </t>
  </si>
  <si>
    <t>LT borrowings (due within 12m)</t>
  </si>
  <si>
    <t xml:space="preserve"> - Repayable by 8 half yearly</t>
  </si>
  <si>
    <t xml:space="preserve">   instalments comm. May, 2000</t>
  </si>
  <si>
    <t xml:space="preserve"> - Repayable by 54 equal monthly</t>
  </si>
  <si>
    <t xml:space="preserve"> - Repayable by 60 equal monthly</t>
  </si>
  <si>
    <t>Less: Repayments due within 12m</t>
  </si>
  <si>
    <t xml:space="preserve">          included in ST borrowings</t>
  </si>
  <si>
    <t>PBT</t>
  </si>
  <si>
    <t>Total assets employed</t>
  </si>
  <si>
    <t>QTR TOTAL</t>
  </si>
  <si>
    <t>N/R</t>
  </si>
  <si>
    <t>Current</t>
  </si>
  <si>
    <t>year to date</t>
  </si>
  <si>
    <t>year quarter</t>
  </si>
  <si>
    <t>Taxation (over)/ underprovided in respect of prior years</t>
  </si>
  <si>
    <t xml:space="preserve">The accounting policies and methods of computation used in the preparation of the quarterly financial statements </t>
  </si>
  <si>
    <t>Contingent Liabilities</t>
  </si>
  <si>
    <t xml:space="preserve">(I) Basic (based on 70 million </t>
  </si>
  <si>
    <t xml:space="preserve">(ii) Fully diluted (based on 70 million </t>
  </si>
  <si>
    <t xml:space="preserve">     ordinary shares (in sen)</t>
  </si>
  <si>
    <t xml:space="preserve">    ordinary shares) (in sen)</t>
  </si>
  <si>
    <t>Due from ultimate holding corporation</t>
  </si>
  <si>
    <t>9. Shareholders' Funds</t>
  </si>
  <si>
    <t>10. Minority Interests</t>
  </si>
  <si>
    <t>11. Long Term Borrowings</t>
  </si>
  <si>
    <t>13. Net tangible assets per share (sen)</t>
  </si>
  <si>
    <t>Share premium</t>
  </si>
  <si>
    <t>Retained profit</t>
  </si>
  <si>
    <t>By Order of the Board</t>
  </si>
  <si>
    <t>Ipoh</t>
  </si>
  <si>
    <t>Cheai Weng Hoong</t>
  </si>
  <si>
    <t>Company Secretary</t>
  </si>
  <si>
    <t xml:space="preserve">SUBSIDIARIES </t>
  </si>
  <si>
    <t>( c)</t>
  </si>
  <si>
    <t xml:space="preserve">PCB Development Sdn Bhd </t>
  </si>
  <si>
    <t>Anakku Group</t>
  </si>
  <si>
    <t xml:space="preserve">Taipan Merit Sdn Bhd </t>
  </si>
  <si>
    <t>Trans Bid Sdn Bhd</t>
  </si>
  <si>
    <t xml:space="preserve">Magni D'Corp Sdn Bhd </t>
  </si>
  <si>
    <t xml:space="preserve">Lumut Maritime Terminal </t>
  </si>
  <si>
    <t>1. Fixed Assets</t>
  </si>
  <si>
    <t>2. Investment in Associated Companies</t>
  </si>
  <si>
    <t>3. Long Term Investments</t>
  </si>
  <si>
    <t>4. Intangible Assets</t>
  </si>
  <si>
    <t>5. Sinking Fund Account</t>
  </si>
  <si>
    <t>6. Current Assets</t>
  </si>
  <si>
    <t xml:space="preserve">7. Current Liabilities </t>
  </si>
  <si>
    <t>8. Net Current Assets</t>
  </si>
  <si>
    <t>Cash and Bank Balances</t>
  </si>
  <si>
    <t>Trade Debtors</t>
  </si>
  <si>
    <t xml:space="preserve">Other Debtors, Deposits and Prepayments </t>
  </si>
  <si>
    <t>Development Properties</t>
  </si>
  <si>
    <t>Trade Creditors</t>
  </si>
  <si>
    <t>Other Creditors</t>
  </si>
  <si>
    <t>Provision for Taxation</t>
  </si>
  <si>
    <t xml:space="preserve">Guarantees given to banks in respect </t>
  </si>
  <si>
    <t xml:space="preserve">       Share Capital</t>
  </si>
  <si>
    <t>PM</t>
  </si>
  <si>
    <t xml:space="preserve">Consol adjustments </t>
  </si>
  <si>
    <t>dividend received on MAHB shares</t>
  </si>
  <si>
    <t>property development which were</t>
  </si>
  <si>
    <t>not budgeted for.</t>
  </si>
  <si>
    <t>Gain on disposal of a sub (BTE)</t>
  </si>
  <si>
    <t>8</t>
  </si>
  <si>
    <t>9</t>
  </si>
  <si>
    <t>10-11</t>
  </si>
  <si>
    <t>12</t>
  </si>
  <si>
    <t xml:space="preserve">       Reserves</t>
  </si>
  <si>
    <t xml:space="preserve"> per consol b/f 1.7.2001</t>
  </si>
  <si>
    <t xml:space="preserve"> 6 months results of BTE</t>
  </si>
  <si>
    <t xml:space="preserve">    38.84% of profit after tax </t>
  </si>
  <si>
    <t xml:space="preserve">    50% of profit after tax </t>
  </si>
  <si>
    <t xml:space="preserve">    35% MI in Consobiz (sold off in May)</t>
  </si>
  <si>
    <t xml:space="preserve"> Charge for the year RM2,165 (adjusted for</t>
  </si>
  <si>
    <t xml:space="preserve"> disposal of BTE Group), for the quarter RM541</t>
  </si>
  <si>
    <t>5. Goodwill RM2,165 p.a.</t>
  </si>
  <si>
    <t>6. Inter-company and consolidation adjustments</t>
  </si>
  <si>
    <t>gain on disposal</t>
  </si>
  <si>
    <t>Due from related companies</t>
  </si>
  <si>
    <t>Due to ultimate holding corporation</t>
  </si>
  <si>
    <t>Due to related companies</t>
  </si>
  <si>
    <t>Transfer to/(from) deferred tax</t>
  </si>
  <si>
    <t xml:space="preserve">    38.84% MI of profit after tax </t>
  </si>
  <si>
    <t xml:space="preserve">    50% MI of profit after tax </t>
  </si>
  <si>
    <t>4. Disposal of BTE</t>
  </si>
  <si>
    <t>Add back: Retained loss @ 31.12.2000</t>
  </si>
  <si>
    <t xml:space="preserve">                 Retained profits on acquisition </t>
  </si>
  <si>
    <t xml:space="preserve">                 Goodwill written off</t>
  </si>
  <si>
    <t>Retained profits b/f @ 1.1 2001</t>
  </si>
  <si>
    <t>Restated</t>
  </si>
  <si>
    <t>Post acq. Loss realised</t>
  </si>
  <si>
    <t>Adj. For goodwill w/off</t>
  </si>
  <si>
    <t>Performance guarantee given to a third party</t>
  </si>
  <si>
    <t xml:space="preserve">Date: </t>
  </si>
  <si>
    <t>Quarterly report on consolidated results for the financial quarter ended 31 March 2000.</t>
  </si>
  <si>
    <t>31/3/2000</t>
  </si>
  <si>
    <t>31/3/1999</t>
  </si>
  <si>
    <t xml:space="preserve">Land and development expenditure </t>
  </si>
  <si>
    <t>RETIREMENT BENEFITS</t>
  </si>
  <si>
    <t>INCOME STATEMENT</t>
  </si>
  <si>
    <t>BALANCE SHEET</t>
  </si>
  <si>
    <t>12. Other Long Term Liabilities - HP Creditors</t>
  </si>
  <si>
    <t>NTA per share (in RM)</t>
  </si>
  <si>
    <t>Trust receipts/ BA</t>
  </si>
  <si>
    <t xml:space="preserve">   instalments comm. June, 1998</t>
  </si>
  <si>
    <t xml:space="preserve">   instalments comm. Jan, 2000</t>
  </si>
  <si>
    <t>At cost</t>
  </si>
  <si>
    <t>At carrying value</t>
  </si>
  <si>
    <t>At market value</t>
  </si>
  <si>
    <t xml:space="preserve">     of facilities granted to subsidiaries (unsecured) </t>
  </si>
  <si>
    <t>latest practicable date</t>
  </si>
  <si>
    <t>Provision of d/debts</t>
  </si>
  <si>
    <t xml:space="preserve">   - year 2001 (adjustment)</t>
  </si>
  <si>
    <t xml:space="preserve">    Dividends (RM1394 gross, RM1004 net), interest on advances RM347k,</t>
  </si>
  <si>
    <t>Retained profits c/f @ 31/12/2001</t>
  </si>
  <si>
    <t xml:space="preserve">    Cumulative 12 mths RM2,165k, and adj for </t>
  </si>
  <si>
    <t xml:space="preserve">    BTE charged for the half year RM63k</t>
  </si>
  <si>
    <t xml:space="preserve">    reserve on consol RM33k, share of loss of assoc co. RM236k</t>
  </si>
  <si>
    <t xml:space="preserve"> per consol b/f 1.10.2001</t>
  </si>
  <si>
    <t>rounding</t>
  </si>
  <si>
    <t xml:space="preserve"> disposal of BTE Group), for the quarter RM542</t>
  </si>
  <si>
    <t>Inter-co dividend tax reversal</t>
  </si>
  <si>
    <t xml:space="preserve">     of facilities granted to subsidiaries which were </t>
  </si>
  <si>
    <t>by the new owners.</t>
  </si>
  <si>
    <t>Adjustments</t>
  </si>
  <si>
    <t>50% + 1</t>
  </si>
  <si>
    <t>Inventories</t>
  </si>
  <si>
    <t>Other payables</t>
  </si>
  <si>
    <t>(MASB11)</t>
  </si>
  <si>
    <t>b/f 2001</t>
  </si>
  <si>
    <t>PROFORMA GROUP FINANCIAL RESULTS FOR THE 3 MONTHS ENDED 31 MARCH 2002</t>
  </si>
  <si>
    <t>Shareholding</t>
  </si>
  <si>
    <t>(c)</t>
  </si>
  <si>
    <t>Other operating income incl. int. inc.</t>
  </si>
  <si>
    <t xml:space="preserve">Operating profit/(loss) </t>
  </si>
  <si>
    <t>(after crediting reserve on consol.)</t>
  </si>
  <si>
    <t>goodwill adj.</t>
  </si>
  <si>
    <t>Operating profit/(loss) etc.</t>
  </si>
  <si>
    <t>Share of results of assoc. cos.</t>
  </si>
  <si>
    <t>Profit/ (loss) before tax, MI etc</t>
  </si>
  <si>
    <t>PROFIT AND LOSS: 6 MONTHS ENDED 30 JUNE 2002</t>
  </si>
  <si>
    <t>CUMULATIVE 6 MONTHS</t>
  </si>
  <si>
    <t>TO 30 JUNE  2002</t>
  </si>
  <si>
    <t>VARIANCE ANALYSIS: ESTIMATED RESULTS  vs BUDGETED RESULTS 6 MONTHS ENDED 30 JUNE 2002</t>
  </si>
  <si>
    <t>for the period ended 30 June 2002</t>
  </si>
  <si>
    <t>Group Revenue</t>
  </si>
  <si>
    <t>Profit/ (loss) after tax before MI</t>
  </si>
  <si>
    <t>(ii)</t>
  </si>
  <si>
    <t>Less MI</t>
  </si>
  <si>
    <t>Profit/ (loss) after tax attributable</t>
  </si>
  <si>
    <t>to members of co.</t>
  </si>
  <si>
    <t>Retained profit @ 1/1/2002</t>
  </si>
  <si>
    <t>per consol b/f 1.1.2001</t>
  </si>
  <si>
    <t>Retained profit @ 31/3/2002</t>
  </si>
  <si>
    <t>Proposed Dividends</t>
  </si>
  <si>
    <t>Retained profit c/f</t>
  </si>
  <si>
    <t>Cash Hotel</t>
  </si>
  <si>
    <t xml:space="preserve">                     #</t>
  </si>
  <si>
    <t xml:space="preserve">Goodwill computation </t>
  </si>
  <si>
    <t>38.84% of loss after tax</t>
  </si>
  <si>
    <t>Charge for the year RM2,164/-</t>
  </si>
  <si>
    <t>Pro-rate for the 3 months RM541/-</t>
  </si>
  <si>
    <t>50% of profit after tax</t>
  </si>
  <si>
    <t>Hire purchase and lease payables</t>
  </si>
  <si>
    <t>Redeemable Preference Shares ("RPS") were issued on 24 December 1999 to the lenders of a subsidiary by a</t>
  </si>
  <si>
    <t>sub-subsidiary, the details of which were announced to the KLSE on 20 January 2000. In the event that the RPS</t>
  </si>
  <si>
    <t>are not fully redeemed within six years or there occurs a default, the RPS holders have a put option to redeem</t>
  </si>
  <si>
    <t>the RPS from the subsidiary and thereafter by a put option on the Company as one of the shareholders of the</t>
  </si>
  <si>
    <t>subsidiary on a several and proportionate basis. However, in the event at anytime, the amount outstanding</t>
  </si>
  <si>
    <t xml:space="preserve">which has not been redeemed is less than RM30.0 million and the value of the assets of the subsidiary is at </t>
  </si>
  <si>
    <t>least three times of the amount outstanding, the put option on the Company shall lapse and the RPS holders</t>
  </si>
  <si>
    <t>shall not have any rights or claims against the Company.</t>
  </si>
  <si>
    <t>There were no pending material litigation as at the latest practicable date.</t>
  </si>
  <si>
    <t>Workings (in RM'000)</t>
  </si>
  <si>
    <t>*MI computation</t>
  </si>
  <si>
    <t>2. Cash Hotel</t>
  </si>
  <si>
    <t>3. LMT</t>
  </si>
  <si>
    <t>#Goodwill computation</t>
  </si>
  <si>
    <t>(Group Basis)</t>
  </si>
  <si>
    <t>(By Company and Individual Quarter)</t>
  </si>
  <si>
    <t xml:space="preserve">  Charge for the year RM2,290</t>
  </si>
  <si>
    <t xml:space="preserve">Revolving credit </t>
  </si>
  <si>
    <t>DR</t>
  </si>
  <si>
    <t>CR</t>
  </si>
  <si>
    <t>Current provision</t>
  </si>
  <si>
    <t>(i)</t>
  </si>
  <si>
    <t>13(b)</t>
  </si>
  <si>
    <t>1. Anakku Group</t>
  </si>
  <si>
    <t xml:space="preserve">    35% MI in Consobiz</t>
  </si>
  <si>
    <t>PERAK CORPORATION BERHAD (GROUP)</t>
  </si>
  <si>
    <t xml:space="preserve">VARIANCE ANALYSIS REPORT </t>
  </si>
  <si>
    <t xml:space="preserve">BUDGET </t>
  </si>
  <si>
    <t>BALANCE TO ACHIEVE</t>
  </si>
  <si>
    <t>REMARKS</t>
  </si>
  <si>
    <t>ACTUAL</t>
  </si>
  <si>
    <t>BUDGET</t>
  </si>
  <si>
    <t>VARIANCE</t>
  </si>
  <si>
    <t>%</t>
  </si>
  <si>
    <t>RM (a)</t>
  </si>
  <si>
    <t>RM (b)</t>
  </si>
  <si>
    <t>RM©=(a)-(b)</t>
  </si>
  <si>
    <t>RM(d)</t>
  </si>
  <si>
    <t xml:space="preserve">   disposed during the financial year</t>
  </si>
  <si>
    <t xml:space="preserve">     disposed during the financial year </t>
  </si>
  <si>
    <t>RM(e)=(d)-(a)</t>
  </si>
  <si>
    <t>(e)/(d)x100%</t>
  </si>
  <si>
    <t>Other Income</t>
  </si>
  <si>
    <t>RM396/-</t>
  </si>
  <si>
    <t>and discontinuing operations.</t>
  </si>
  <si>
    <t xml:space="preserve">The Group made a profit before taxation of RM7.2 million for the quarter ended 30 June 2002 as compared </t>
  </si>
  <si>
    <t xml:space="preserve">For the financial year to date, the Group recorded a revenue of RM73.8 million and a profit before taxation of  RM7.9 </t>
  </si>
  <si>
    <t>under note 15, above.</t>
  </si>
  <si>
    <t>million. This is mainly due to the improvement of  performance on most of the segmental activities as reasons</t>
  </si>
  <si>
    <t>in the financial statement for the said period, made up to the latest practicable date.</t>
  </si>
  <si>
    <t xml:space="preserve">The directors expect the Group to maintain its performance in most of </t>
  </si>
  <si>
    <t>and loss.</t>
  </si>
  <si>
    <t xml:space="preserve">The effective tax rate on the Company's profit is as at the statutory tax rate of 28% from operating profit </t>
  </si>
  <si>
    <t>million. This is mainly due to rental received from PKNP and dividend received from subsidiary.</t>
  </si>
  <si>
    <t>In the opinion of the Directors, the results of the Company  for the current financial year to date have not been</t>
  </si>
  <si>
    <t xml:space="preserve">to the preceding quarter ended 31 March  2002 which made a profit before taxation of RM0.3 million. </t>
  </si>
  <si>
    <t>In the preceding quarter, the profit was mainly due to rental received from PKNP.</t>
  </si>
  <si>
    <t xml:space="preserve">Save as disclosed in Note 15, the Company's operations are not materially affected by seasonal or cyclicality factors. </t>
  </si>
  <si>
    <t xml:space="preserve">The directors expect the Company  to maintain its performance  in the ordinary course of business for the </t>
  </si>
  <si>
    <t>current  financial year 2002.</t>
  </si>
  <si>
    <t xml:space="preserve">Company to persons to whom the provision of financial assistance is necessary to facilitate </t>
  </si>
  <si>
    <t>the ordinary course of business of the Company.</t>
  </si>
  <si>
    <t>(5,249 + 3484 )</t>
  </si>
  <si>
    <t>(1 of 3)</t>
  </si>
  <si>
    <t>(2 of 3)</t>
  </si>
  <si>
    <t>(3 of 3)</t>
  </si>
  <si>
    <t xml:space="preserve">PCB and Cash exceeded its budget by </t>
  </si>
  <si>
    <t>64% and 8% each, while PCBD, Anakku</t>
  </si>
  <si>
    <t xml:space="preserve">and LMT fell short of budget by 64%, </t>
  </si>
  <si>
    <t>13% and 38% respectively.</t>
  </si>
  <si>
    <t xml:space="preserve">PCB, Anakku and Cash exceeded its </t>
  </si>
  <si>
    <t xml:space="preserve">budget by 150%, 127% and 28%. PCBD </t>
  </si>
  <si>
    <t>new</t>
  </si>
  <si>
    <t>and LMT fell short of budget by 58% and</t>
  </si>
  <si>
    <t xml:space="preserve">51% respectively . </t>
  </si>
  <si>
    <t>technical problems on site and delayed in progress payment</t>
  </si>
  <si>
    <t>to contractors.</t>
  </si>
  <si>
    <t xml:space="preserve">    RM438 /-</t>
  </si>
  <si>
    <t xml:space="preserve">    RM371 /-</t>
  </si>
  <si>
    <t xml:space="preserve">   49.99% of profit after tax RM877</t>
  </si>
  <si>
    <t>Operating Profit / (Loss)</t>
  </si>
  <si>
    <t>Profit before taxation</t>
  </si>
  <si>
    <t>Profit / (Loss) After Taxation</t>
  </si>
  <si>
    <t>Less: Minority Interests</t>
  </si>
  <si>
    <t>Profit Before E. Items</t>
  </si>
  <si>
    <t>Actual Profit Attributable</t>
  </si>
  <si>
    <t>To Company</t>
  </si>
  <si>
    <t>Profits available for distribution</t>
  </si>
  <si>
    <t>PROFIT BEFORE TAXATION</t>
  </si>
  <si>
    <t>RM(b)</t>
  </si>
  <si>
    <t>© = (a)-(b)</t>
  </si>
  <si>
    <t>RM(e)</t>
  </si>
  <si>
    <t>RM(f)=(d)-(e)</t>
  </si>
  <si>
    <t>PCBD</t>
  </si>
  <si>
    <t>OTHERS</t>
  </si>
  <si>
    <t>Cash</t>
  </si>
  <si>
    <t>Complex</t>
  </si>
  <si>
    <t>Transbid</t>
  </si>
  <si>
    <t>Sub-total</t>
  </si>
  <si>
    <t>Consobiz</t>
  </si>
  <si>
    <t>(b/f 1999)</t>
  </si>
  <si>
    <t>Shareholders funds</t>
  </si>
  <si>
    <t>Less: Pref shares in Cash</t>
  </si>
  <si>
    <t>Less: Prov of unrealised profits</t>
  </si>
  <si>
    <t>Add: Reversal of P.U.R.P</t>
  </si>
  <si>
    <t>MI</t>
  </si>
  <si>
    <t>Amount owing to corporate shareholder reclass</t>
  </si>
  <si>
    <t xml:space="preserve">Consobiz in Anakku </t>
  </si>
  <si>
    <t>Cash Hotel Group MI</t>
  </si>
  <si>
    <t>LMT lenders</t>
  </si>
  <si>
    <t xml:space="preserve">MI share of negative goodwill </t>
  </si>
  <si>
    <t>&lt;jnl 9, WP 1999&gt;</t>
  </si>
  <si>
    <t>b/f  1999</t>
  </si>
  <si>
    <t>There were no financial instruments with Off Balance Sheet risk as at the latest practicable date.</t>
  </si>
  <si>
    <t>Summary of Financial Performance of the Group</t>
  </si>
  <si>
    <t>(Actual vs Revised Budget)</t>
  </si>
  <si>
    <t xml:space="preserve"> (a)</t>
  </si>
  <si>
    <t xml:space="preserve">Group Turnover </t>
  </si>
  <si>
    <t>(a)/(b)x100</t>
  </si>
  <si>
    <t>Group Profit Before Taxation</t>
  </si>
  <si>
    <t>ACHIEVED</t>
  </si>
  <si>
    <t>Revenue</t>
  </si>
  <si>
    <t>Other income</t>
  </si>
  <si>
    <t>Profit/(loss) before finance cost</t>
  </si>
  <si>
    <t xml:space="preserve">depreciation and amortisation, </t>
  </si>
  <si>
    <t xml:space="preserve">exceptional items, income tax, minority </t>
  </si>
  <si>
    <t>interest and extraordinary items</t>
  </si>
  <si>
    <t>Finance cost</t>
  </si>
  <si>
    <t>minority interests</t>
  </si>
  <si>
    <t>associated companies</t>
  </si>
  <si>
    <t>Income tax</t>
  </si>
  <si>
    <t>Pre-acquisition profit/(loss), if</t>
  </si>
  <si>
    <t>applicable</t>
  </si>
  <si>
    <t>Net profit/(loss) from ordinary activities</t>
  </si>
  <si>
    <t>(m)</t>
  </si>
  <si>
    <t>Net profit/(loss) attributable</t>
  </si>
  <si>
    <t>to members of the company</t>
  </si>
  <si>
    <t>Earnings per share based on 2(m) above</t>
  </si>
  <si>
    <t>.</t>
  </si>
  <si>
    <t>Retained profits c/f</t>
  </si>
  <si>
    <t>Trust receipts/ BA/STL/HP</t>
  </si>
  <si>
    <t xml:space="preserve">   instalments comm. Jan, 2002</t>
  </si>
  <si>
    <t>Consol adjustments</t>
  </si>
  <si>
    <t>Profit/(loss) before income tax,</t>
  </si>
  <si>
    <t>PROFORMA GROUP FINANCIAL RESULTS FOR THE QUARTER ENDED 30 SEPTEMBER 2002</t>
  </si>
  <si>
    <t>PROFORMA GROUP FINANCIAL RESULTS FOR THE QUARTER ENDED 31 DECEMBER 2002</t>
  </si>
  <si>
    <t>PROFORMA GROUP FINANCIAL RESULTS FOR THE 12 MONTHS ENDED 31 DECEMBER 2002</t>
  </si>
  <si>
    <t>BUDGETED CONSOLIDATED INCOME STATEMENT FOR THE FINANCIAL YEAR ENDING 2001 (KLSE FORMAT) - PROPOSED REVISION</t>
  </si>
  <si>
    <t>Retained profits @ 1/4/2002</t>
  </si>
  <si>
    <t>Current period</t>
  </si>
  <si>
    <t>Profit/(loss) before income tax, minority</t>
  </si>
  <si>
    <t>(i ) Profit/(loss) after income tax</t>
  </si>
  <si>
    <t xml:space="preserve">(a) Basic (based on 70 million </t>
  </si>
  <si>
    <t xml:space="preserve">(b) Fully diluted (based on 70 million </t>
  </si>
  <si>
    <t>Consol</t>
  </si>
  <si>
    <t>Consol adj</t>
  </si>
  <si>
    <t>Inter-company tax on dividend</t>
  </si>
  <si>
    <t>SUMMARY OF CORPORATE GUARANTEE (CG) AS AT:</t>
  </si>
  <si>
    <t xml:space="preserve">Name of </t>
  </si>
  <si>
    <t>bank etc</t>
  </si>
  <si>
    <t xml:space="preserve">Purpose of </t>
  </si>
  <si>
    <t>borrowings</t>
  </si>
  <si>
    <t>Type of borrowings</t>
  </si>
  <si>
    <t>Amount</t>
  </si>
  <si>
    <t>Available</t>
  </si>
  <si>
    <t>Utilised *</t>
  </si>
  <si>
    <t>Utilised</t>
  </si>
  <si>
    <t>As at period end</t>
  </si>
  <si>
    <t>As at latest practicable date</t>
  </si>
  <si>
    <t>COMPANY/ GROUP NAME:</t>
  </si>
  <si>
    <t>Performance guarantee**</t>
  </si>
  <si>
    <t>** So far, applicable to BTE Group only</t>
  </si>
  <si>
    <t>Notes:</t>
  </si>
  <si>
    <t>CG given by PCB:</t>
  </si>
  <si>
    <t>Total CG given by PCB</t>
  </si>
  <si>
    <t>CG given (other than PCB):</t>
  </si>
  <si>
    <t>Total CG given by others</t>
  </si>
  <si>
    <t>PCB CG</t>
  </si>
  <si>
    <t>Others CG</t>
  </si>
  <si>
    <t xml:space="preserve">Other borrowings with </t>
  </si>
  <si>
    <t>no CG:</t>
  </si>
  <si>
    <t>Total other borrowings</t>
  </si>
  <si>
    <t>2. For Anakku &amp; BTE, you may continue the present format already given to us given but please summarise in this new format</t>
  </si>
  <si>
    <t>Group Profit After Taxation</t>
  </si>
  <si>
    <t>1. The main purpose of this worksheet is so that the total CG given by PCB and/or other parties is self-computed by the respective group/ company.</t>
  </si>
  <si>
    <t>* In the case of HP &amp; leases, include both principal and interest (for Anakku, the split is shown on current format)</t>
  </si>
  <si>
    <t xml:space="preserve">    For purpose/ type of borrowings, write "refer schedule"</t>
  </si>
  <si>
    <t>Interest rate range</t>
  </si>
  <si>
    <t>x.xx% - x.xx%</t>
  </si>
  <si>
    <t>22.</t>
  </si>
  <si>
    <t>Provision of Financial Assistance</t>
  </si>
  <si>
    <t>Small losses due to administrative expenses with minimal activities.</t>
  </si>
  <si>
    <t>CONTENTS</t>
  </si>
  <si>
    <t>Page</t>
  </si>
  <si>
    <t>1-2</t>
  </si>
  <si>
    <t>3</t>
  </si>
  <si>
    <t>4</t>
  </si>
  <si>
    <t>6-7</t>
  </si>
  <si>
    <t>FOR ANNOUNCEMENT TO THE KLSE</t>
  </si>
  <si>
    <t>Consolidated Income Statement</t>
  </si>
  <si>
    <t>Consolidated Balance Sheet</t>
  </si>
  <si>
    <t xml:space="preserve">    e.g. sub-total at current format, and transfer total to this new format. In the case of Anakku, by company within the group.</t>
  </si>
  <si>
    <t>Retained profits @ 1/1/2001</t>
  </si>
  <si>
    <t>Retained Profits b/f @ 1/1/2001 (actual)</t>
  </si>
  <si>
    <t>BUDGET 2001</t>
  </si>
  <si>
    <t>Depreciation and amortisation (inc. goodwill)</t>
  </si>
  <si>
    <t>goodwill adj</t>
  </si>
  <si>
    <t>b/f 2000</t>
  </si>
  <si>
    <t xml:space="preserve"> from CHSB (debited to res on consol) -  year 1999</t>
  </si>
  <si>
    <t xml:space="preserve">           year 2000</t>
  </si>
  <si>
    <t>MI share of PYA in Anakku intangible assets w/off (RM476-RM321)</t>
  </si>
  <si>
    <t xml:space="preserve">Term loans </t>
  </si>
  <si>
    <t>(LMT only)</t>
  </si>
  <si>
    <t>Achieved</t>
  </si>
  <si>
    <t>RM million</t>
  </si>
  <si>
    <t>(a)/(b)*100</t>
  </si>
  <si>
    <t>BOD 23/5/2001</t>
  </si>
  <si>
    <t>Agenda 2 Para (3)</t>
  </si>
  <si>
    <t>DRAFT</t>
  </si>
  <si>
    <t>Goodwill</t>
  </si>
  <si>
    <t xml:space="preserve">(Actual vs Budget) </t>
  </si>
  <si>
    <t>QUARTERLY REPORTING 31 MARCH 2001</t>
  </si>
  <si>
    <t>OTHER MATTERS TO BE TAKEN INTO CONSIDERATION</t>
  </si>
  <si>
    <t>Accumulated losses as at 31 January 2001</t>
  </si>
  <si>
    <t>RM</t>
  </si>
  <si>
    <t>Made up of:</t>
  </si>
  <si>
    <t>1. Retained earnings b/f as at 1 January 2001</t>
  </si>
  <si>
    <t>2. Intangible assets written off to 31 December 2000</t>
  </si>
  <si>
    <t>3. Loss/ write-off for the month of January 2001</t>
  </si>
  <si>
    <t>PCB's share @ 20% of :-</t>
  </si>
  <si>
    <t>Item 3 above</t>
  </si>
  <si>
    <t>Item 4 above</t>
  </si>
  <si>
    <t>A. Share of loss of associated company (KLPB)</t>
  </si>
  <si>
    <t>B. Reserve on consolidation credited to Income Statement</t>
  </si>
  <si>
    <t>Other Long Term Borrowings</t>
  </si>
  <si>
    <t>Hire Purchase and lease payables</t>
  </si>
  <si>
    <t>Hire purchase and lease payables (secured)</t>
  </si>
  <si>
    <t>*check carefully</t>
  </si>
  <si>
    <t>HP and lease payables:</t>
  </si>
  <si>
    <t xml:space="preserve">  -Due within one year</t>
  </si>
  <si>
    <t xml:space="preserve">  -Repayable within 2 to 5 years</t>
  </si>
  <si>
    <t>Per consolidation workings adjustment (annual)</t>
  </si>
  <si>
    <t>Pro-rate for 3 months</t>
  </si>
  <si>
    <t>C. Inter-company adjustment on interest</t>
  </si>
  <si>
    <t xml:space="preserve"> - Q3</t>
  </si>
  <si>
    <t>Dividends</t>
  </si>
  <si>
    <t>PREMIUM</t>
  </si>
  <si>
    <t>MERIDIAN</t>
  </si>
  <si>
    <t>Gain on disposal of a sub.</t>
  </si>
  <si>
    <t>(REVISED)</t>
  </si>
  <si>
    <t xml:space="preserve">and depreciation, and finance cost being interest income of PCB on </t>
  </si>
  <si>
    <t>interest on advances charged to PCBD and BTE</t>
  </si>
  <si>
    <t>However, the PBT figure for the Group should remain the same.</t>
  </si>
  <si>
    <t>report</t>
  </si>
  <si>
    <t>Adjusted</t>
  </si>
  <si>
    <t>Profit/(loss) before finance cost, depreciation etc</t>
  </si>
  <si>
    <t>(adjusted for reserve on consolidation credited to income statement)</t>
  </si>
  <si>
    <t>Depreciation</t>
  </si>
  <si>
    <t>Share of loss of associated company</t>
  </si>
  <si>
    <t>Less: MI</t>
  </si>
  <si>
    <t>PAT after MI</t>
  </si>
  <si>
    <t>(inc. A, B, C)</t>
  </si>
  <si>
    <t>D. Overall effect</t>
  </si>
  <si>
    <t>Amount to be taken out of other income, operating interest before finance cost</t>
  </si>
  <si>
    <t>Profits/ (Losses) on Sale of Unquoted Investments and/or Properties</t>
  </si>
  <si>
    <t xml:space="preserve">There were no profits/ (losses) made on any sale of unquoted investments  and/ or properties respectively </t>
  </si>
  <si>
    <t>Changes in the Composition of the Group</t>
  </si>
  <si>
    <t>Currency</t>
  </si>
  <si>
    <t>None of the Group borrowings is denominated in foreign currency.</t>
  </si>
  <si>
    <t>Material Events Subsequent to the End of the Period Reported</t>
  </si>
  <si>
    <t>Term loans (secured)</t>
  </si>
  <si>
    <t xml:space="preserve"> (current portion - see Note 10(b) below)</t>
  </si>
  <si>
    <t>The Company did not issue any profit forecast during the financial year.</t>
  </si>
  <si>
    <t>There were no material events subsequent to the end of the period reported on that have not been reflected</t>
  </si>
  <si>
    <t>Seasonal or Cyclicality of Operations</t>
  </si>
  <si>
    <t>(after crediting reserve on consol)</t>
  </si>
  <si>
    <t>5. Intangible Assets</t>
  </si>
  <si>
    <t>6. Sinking Fund Account</t>
  </si>
  <si>
    <t>GROUP COMMENTARY</t>
  </si>
  <si>
    <t xml:space="preserve">     </t>
  </si>
  <si>
    <t>Retained profits @ 1/10/2001</t>
  </si>
  <si>
    <t>Retained profit @ 31/12/2001</t>
  </si>
  <si>
    <t>ST borrowings</t>
  </si>
  <si>
    <t>Cash Hotel Sdn Bhd ("CHSB")</t>
  </si>
  <si>
    <t xml:space="preserve">(i )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</si>
  <si>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Premium Meridian Sdn Bhd</t>
  </si>
  <si>
    <t>Share of loss *</t>
  </si>
  <si>
    <t>Consol adj - g/will</t>
  </si>
  <si>
    <t>Consol adj - reserve</t>
  </si>
  <si>
    <t>1. Property, Plant and Equipment</t>
  </si>
  <si>
    <t>7. Other Long Term Assets</t>
  </si>
  <si>
    <t>4. Goodwill on Consolidation</t>
  </si>
  <si>
    <t>Share of profits and (losses) of</t>
  </si>
  <si>
    <t>Share of loss of associated co.</t>
  </si>
  <si>
    <t>Loss of</t>
  </si>
  <si>
    <t>KLPB</t>
  </si>
  <si>
    <t>Retained profits @ 1/7/2001</t>
  </si>
  <si>
    <t>Retained profit @ 30/9/2001</t>
  </si>
  <si>
    <t>CUMULATIVE</t>
  </si>
  <si>
    <t>MERIT</t>
  </si>
  <si>
    <t>D'CORP</t>
  </si>
  <si>
    <t>30/6/2002</t>
  </si>
  <si>
    <t>Quarterly report on consolidated results for the second quarter ended 30 June 2002</t>
  </si>
  <si>
    <t>30/6/2001</t>
  </si>
  <si>
    <t>BUDGETED GROUP FINANCIAL RESULTS FOR THE 6 MONTHS ENDED 30 JUNE 2002</t>
  </si>
  <si>
    <t>(6 MTHS)</t>
  </si>
  <si>
    <t>NOTES TO THE QUARTERLY REPORT - 30 JUNE 2002</t>
  </si>
  <si>
    <t>Company</t>
  </si>
  <si>
    <t>Adjustment</t>
  </si>
  <si>
    <t>(APPENDIX a)</t>
  </si>
  <si>
    <t>Retained Profits @ 30 June 2002</t>
  </si>
  <si>
    <t xml:space="preserve">  Pro-rate for the 6 mths RM1,082/-</t>
  </si>
  <si>
    <t xml:space="preserve">4. (a) Current year losses (February and March 2001) </t>
  </si>
  <si>
    <t xml:space="preserve">    (b) Current year losses (April to June 2001)</t>
  </si>
  <si>
    <t>Taken up on 31 March 2001</t>
  </si>
  <si>
    <t>Per management accounts 5 months to 30 June 2001</t>
  </si>
  <si>
    <t>To be taken up for quarter 30 June 2001 (item 4(b) above)</t>
  </si>
  <si>
    <t>Taipan/ Transbid/</t>
  </si>
  <si>
    <t>Magni</t>
  </si>
  <si>
    <t>Adj. For prov for unrealised profits</t>
  </si>
  <si>
    <t>Group's share @ 50%</t>
  </si>
  <si>
    <t xml:space="preserve"> - Q1</t>
  </si>
  <si>
    <t xml:space="preserve"> - Q2</t>
  </si>
  <si>
    <t xml:space="preserve">   - year 2000</t>
  </si>
  <si>
    <t xml:space="preserve"> from CHSB (debited to res on consol)  -  year 1999</t>
  </si>
  <si>
    <t>Pref div (LMT, group share @ 50%)</t>
  </si>
  <si>
    <t xml:space="preserve">Adj for prov for unrealised profit </t>
  </si>
  <si>
    <t>Investment in associated company</t>
  </si>
  <si>
    <t>(a)/(b)x100%</t>
  </si>
  <si>
    <t>REVENUE</t>
  </si>
  <si>
    <t>(d)/(e)x100%</t>
  </si>
  <si>
    <t>PROFIT AND LOSS: 12 MONTHS ENDED 31 DECEMBER 2001</t>
  </si>
  <si>
    <t>CUMULATIVE 12 MONTHS</t>
  </si>
  <si>
    <t>TO 31 DECEMBER  2001</t>
  </si>
  <si>
    <t xml:space="preserve"> - Q4</t>
  </si>
  <si>
    <t>Gain on disp.</t>
  </si>
  <si>
    <t>Others</t>
  </si>
  <si>
    <t>(AUDITED)</t>
  </si>
  <si>
    <t>Share of results of assoc. co.</t>
  </si>
  <si>
    <t>Gain on disposal of subsidiary</t>
  </si>
  <si>
    <t>Potential impairment of def'd exp</t>
  </si>
  <si>
    <t>Extraordinary items</t>
  </si>
  <si>
    <t>PERAK CORPORATION BERHAD AND ITS SUBSIDIARIES</t>
  </si>
  <si>
    <t>Prov. For URP adj./ div</t>
  </si>
  <si>
    <t>PBT fell short of 19% due to the factors mentioned above.</t>
  </si>
  <si>
    <t>Group's share of pref div paid</t>
  </si>
  <si>
    <t>1. Anakku (35% MI shareholding in Consobiz)</t>
  </si>
  <si>
    <t>4. BTE</t>
  </si>
  <si>
    <t xml:space="preserve">    38.84% of loss after tax (RM1,667)</t>
  </si>
  <si>
    <t xml:space="preserve">    50% of profit after tax RM6,131</t>
  </si>
  <si>
    <t xml:space="preserve">   ( RM647)</t>
  </si>
  <si>
    <t xml:space="preserve">    RM3,066</t>
  </si>
  <si>
    <t xml:space="preserve">Due from subs </t>
  </si>
  <si>
    <t>6mths</t>
  </si>
  <si>
    <t>3mths</t>
  </si>
  <si>
    <t>bal.</t>
  </si>
  <si>
    <t xml:space="preserve"> per consol b/f 1.4.2002</t>
  </si>
  <si>
    <t xml:space="preserve">  Pro-rate for 3 months RM542</t>
  </si>
  <si>
    <t>Interest on advances of RM281k and accounting fees of RM12k charged to a subsidiary</t>
  </si>
  <si>
    <t>with budget revision</t>
  </si>
  <si>
    <t>Profit/(loss) after tax &amp; E.I</t>
  </si>
  <si>
    <t>Retained Profits @ 1 January (act)</t>
  </si>
  <si>
    <t>Retained Profits @ 31 December</t>
  </si>
  <si>
    <t xml:space="preserve">    35% (PAT less net provision for unrealised profit)</t>
  </si>
  <si>
    <t xml:space="preserve">    Include budgeted results for the 6 months to 30/6/2001</t>
  </si>
  <si>
    <t xml:space="preserve">    Consobiz was disposed off 31/5/00.</t>
  </si>
  <si>
    <t xml:space="preserve">    as the BTE Group was being disposed off on 10/7/2001.</t>
  </si>
  <si>
    <t xml:space="preserve">Inter-company adjustments </t>
  </si>
  <si>
    <t xml:space="preserve">    Gain on disposal of subs of RM8.8 million relates to this. </t>
  </si>
  <si>
    <t>Term loans (current portion - see Note 10(b) below)</t>
  </si>
  <si>
    <t>borrowings (see Note 10(a) above)</t>
  </si>
  <si>
    <t>Revenue:</t>
  </si>
  <si>
    <t>PCB and Cash Hotel exceeded their</t>
  </si>
  <si>
    <t>RESULTS OF THE COMPANY AND OF THE GROUP FOR THE</t>
  </si>
  <si>
    <t>FINANCIAL PERIOD ENDED 30 JUNE 2001 AND THE DRAFT</t>
  </si>
  <si>
    <t>SECOND QUARTERLY REPORT FOR THE YEAR 2001</t>
  </si>
  <si>
    <t>The Committee was briefed on the financial results of the Company and its Group of</t>
  </si>
  <si>
    <t>report of the Group for the financial quarter ended thereon.</t>
  </si>
  <si>
    <t>Retained Profits b/f @ 1/1/2002 (actual)</t>
  </si>
  <si>
    <t>Retained profits c/f @ 30/06/2002</t>
  </si>
  <si>
    <t xml:space="preserve">Revenue and PBT show an increased of more than 100% </t>
  </si>
  <si>
    <t>(b) A summary of details in quoted securities as at 28 June 2002 is as follows:</t>
  </si>
  <si>
    <t>before taxation of RM4.5 million for the current financial quarter as compared to the immediate</t>
  </si>
  <si>
    <t>The Committee noted that the Group registered a revenue of RM42.4 million and a profit</t>
  </si>
  <si>
    <t xml:space="preserve">preceding quarter of RM39.7 in revenue and RM1.8 million in profit before taxation. </t>
  </si>
  <si>
    <t>The Group's revenue for the current quarter were substantially contributed by Anakku Group</t>
  </si>
  <si>
    <t>which recorded a revenue of RM27.2 million whilst its pre-tax profit  was RM3.6 million, out</t>
  </si>
  <si>
    <t>of which RM1.1 million was attributed by the profit on sale of parcels of land and buildings.</t>
  </si>
  <si>
    <t>The Group's other income of RM1.9 million for the period included the sale of parcels of</t>
  </si>
  <si>
    <t>land and buildings by Anakku Group mentioned above.</t>
  </si>
  <si>
    <t>The share of loss in associated companies was related to Konsortium LPB Sdn Bhd, a 20%</t>
  </si>
  <si>
    <t>associate company which amounted to RM124,000 for the period mainly arising from pre-</t>
  </si>
  <si>
    <t>operating expenses.</t>
  </si>
  <si>
    <t xml:space="preserve">The earnings per share of the Group for the second quarter was 4.31 sen per share, an </t>
  </si>
  <si>
    <t xml:space="preserve">improvement over 1.22 sen per share registered at the immediate preceding quarter. </t>
  </si>
  <si>
    <t>The net tangible assets per share as at 30 June 2001 was RM3.82 per share while the</t>
  </si>
  <si>
    <t>closing market price quoted on the Kuala Lumpur Stock Exchange on 24 August 2001 was</t>
  </si>
  <si>
    <t>RM1.44 per share (as at 22 May 2001 : RM1.14 per share).</t>
  </si>
  <si>
    <t>companies for the quarter ended 30 June 2001 and the draft announcement for the quarterly</t>
  </si>
  <si>
    <t>PBT from the sale of properties and</t>
  </si>
  <si>
    <t>disposal of unquoted shares.</t>
  </si>
  <si>
    <t>PBT:</t>
  </si>
  <si>
    <t>8. Current Assets</t>
  </si>
  <si>
    <t xml:space="preserve">9. Current Liabilities </t>
  </si>
  <si>
    <t>10. Net Current Assets</t>
  </si>
  <si>
    <t>11. Shareholders' Funds</t>
  </si>
  <si>
    <t>12. Reserve on consolidation</t>
  </si>
  <si>
    <t>13. Minority Interests</t>
  </si>
  <si>
    <t>14. Long Term Borrowings</t>
  </si>
  <si>
    <t>15. Other Long Term Liabilities</t>
  </si>
  <si>
    <t>Comment on Financial Results (current quarter compared with the immediate preceding quarter)</t>
  </si>
  <si>
    <t xml:space="preserve">the same period in 2001 due to the factors mentioned above. </t>
  </si>
  <si>
    <t>Small losses due to administrative expenses and minimal activities.</t>
  </si>
  <si>
    <t>Due from subsidiaries</t>
  </si>
  <si>
    <t>3. Investment in others</t>
  </si>
  <si>
    <t>2. Investment in Subsidiaries</t>
  </si>
  <si>
    <t xml:space="preserve">          - Directs</t>
  </si>
  <si>
    <t xml:space="preserve">          - Via Tapan Merit Sdn. Bhd.</t>
  </si>
  <si>
    <t xml:space="preserve">          - Long Term Advances to PCBD</t>
  </si>
  <si>
    <t xml:space="preserve">          - Long Term Advances to Premium Meridian</t>
  </si>
  <si>
    <t xml:space="preserve">          - Due to subsidiaries</t>
  </si>
  <si>
    <t xml:space="preserve">          - Konsortium LPB(Associate)</t>
  </si>
  <si>
    <t xml:space="preserve">          - South South</t>
  </si>
  <si>
    <t xml:space="preserve">          - Investments -MAHB</t>
  </si>
  <si>
    <t>PERAK CORPORATION BERHAD (Company)</t>
  </si>
  <si>
    <t xml:space="preserve">                                                 - Deferred taxation</t>
  </si>
  <si>
    <t>PCBD to PCBComm</t>
  </si>
  <si>
    <t>Manufacturing &amp; consumer products</t>
  </si>
  <si>
    <t>Hotel &amp; tourism</t>
  </si>
  <si>
    <t>Infrastructure</t>
  </si>
  <si>
    <t>Term lOan</t>
  </si>
  <si>
    <t xml:space="preserve">PERAK CORPORATION BERHAD </t>
  </si>
  <si>
    <t>31/12/2001</t>
  </si>
  <si>
    <t>(Company no. 210915-U)</t>
  </si>
  <si>
    <t>(Incorporated in Malaysia)</t>
  </si>
  <si>
    <t>CONSOLIDATED INCOME STATEMENT</t>
  </si>
  <si>
    <t>RM '000</t>
  </si>
  <si>
    <t>1     (a)</t>
  </si>
  <si>
    <t>Turnover</t>
  </si>
  <si>
    <t xml:space="preserve">       (b)</t>
  </si>
  <si>
    <t>Investment income</t>
  </si>
  <si>
    <t xml:space="preserve">(c) </t>
  </si>
  <si>
    <t>Other income including interest income</t>
  </si>
  <si>
    <t>2     (a)</t>
  </si>
  <si>
    <t>Operating profit/(loss) before</t>
  </si>
  <si>
    <t>interest on borrowings, depreciation</t>
  </si>
  <si>
    <t>and amortisation, exceptional items,</t>
  </si>
  <si>
    <t>income tax, minority interests and</t>
  </si>
  <si>
    <t>extraordinary items</t>
  </si>
  <si>
    <t>Interest on borrowings</t>
  </si>
  <si>
    <t xml:space="preserve">       (c )</t>
  </si>
  <si>
    <t>Depreciation and amortisation</t>
  </si>
  <si>
    <t xml:space="preserve">       (d)</t>
  </si>
  <si>
    <t>Exceptional items</t>
  </si>
  <si>
    <t xml:space="preserve">       (e)</t>
  </si>
  <si>
    <t>Operating profit/(loss) after interest</t>
  </si>
  <si>
    <t xml:space="preserve">on borrowings, depreciation and </t>
  </si>
  <si>
    <t>amortisation, exceptional items but</t>
  </si>
  <si>
    <t>before income tax, minority interests</t>
  </si>
  <si>
    <t>and extraordinary items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</si>
</sst>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"/>
    <numFmt numFmtId="168" formatCode="_(* #,##0.0_);_(* \(#,##0.0\);_(* &quot;-&quot;?_);_(@_)"/>
    <numFmt numFmtId="169" formatCode="_(* #,##0.0000_);_(* \(#,##0.0000\);_(* &quot;-&quot;????_);_(@_)"/>
    <numFmt numFmtId="170" formatCode="_(* #,##0.0000_);_(* \(#,##0.0000\);_(* &quot;-&quot;??_);_(@_)"/>
    <numFmt numFmtId="171" formatCode="0.000"/>
    <numFmt numFmtId="172" formatCode="0.0%"/>
    <numFmt numFmtId="173" formatCode="_(* #,##0_);_(* \(#,##0\);_(* &quot;-&quot;?_);_(@_)"/>
  </numFmts>
  <fonts count="30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1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1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 quotePrefix="1">
      <alignment/>
    </xf>
    <xf numFmtId="164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 quotePrefix="1">
      <alignment horizontal="right"/>
    </xf>
    <xf numFmtId="164" fontId="1" fillId="0" borderId="8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164" fontId="1" fillId="0" borderId="7" xfId="15" applyNumberFormat="1" applyFont="1" applyBorder="1" applyAlignment="1">
      <alignment horizontal="right"/>
    </xf>
    <xf numFmtId="164" fontId="1" fillId="0" borderId="9" xfId="15" applyNumberFormat="1" applyFont="1" applyBorder="1" applyAlignment="1">
      <alignment/>
    </xf>
    <xf numFmtId="43" fontId="0" fillId="0" borderId="7" xfId="15" applyBorder="1" applyAlignment="1">
      <alignment/>
    </xf>
    <xf numFmtId="43" fontId="1" fillId="0" borderId="7" xfId="15" applyFont="1" applyBorder="1" applyAlignment="1">
      <alignment/>
    </xf>
    <xf numFmtId="43" fontId="1" fillId="0" borderId="0" xfId="15" applyFont="1" applyAlignment="1">
      <alignment/>
    </xf>
    <xf numFmtId="164" fontId="1" fillId="0" borderId="6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0" fontId="1" fillId="0" borderId="5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 quotePrefix="1">
      <alignment/>
    </xf>
    <xf numFmtId="3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4" fontId="1" fillId="0" borderId="10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" fillId="0" borderId="11" xfId="15" applyNumberFormat="1" applyFont="1" applyBorder="1" applyAlignment="1">
      <alignment/>
    </xf>
    <xf numFmtId="0" fontId="7" fillId="0" borderId="7" xfId="0" applyFont="1" applyBorder="1" applyAlignment="1">
      <alignment/>
    </xf>
    <xf numFmtId="164" fontId="1" fillId="0" borderId="12" xfId="15" applyNumberFormat="1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164" fontId="9" fillId="0" borderId="0" xfId="15" applyNumberFormat="1" applyFont="1" applyAlignment="1">
      <alignment/>
    </xf>
    <xf numFmtId="164" fontId="9" fillId="0" borderId="13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14" fontId="9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center"/>
    </xf>
    <xf numFmtId="164" fontId="1" fillId="0" borderId="5" xfId="0" applyNumberFormat="1" applyFont="1" applyBorder="1" applyAlignment="1">
      <alignment/>
    </xf>
    <xf numFmtId="0" fontId="9" fillId="0" borderId="0" xfId="0" applyFont="1" applyAlignment="1">
      <alignment horizontal="left"/>
    </xf>
    <xf numFmtId="15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3" xfId="0" applyFont="1" applyBorder="1" applyAlignment="1">
      <alignment horizontal="right"/>
    </xf>
    <xf numFmtId="164" fontId="1" fillId="0" borderId="4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43" fontId="0" fillId="0" borderId="0" xfId="15" applyBorder="1" applyAlignment="1">
      <alignment/>
    </xf>
    <xf numFmtId="43" fontId="1" fillId="0" borderId="0" xfId="15" applyFont="1" applyBorder="1" applyAlignment="1">
      <alignment/>
    </xf>
    <xf numFmtId="0" fontId="1" fillId="0" borderId="7" xfId="0" applyFont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8" fillId="0" borderId="0" xfId="0" applyFont="1" applyAlignment="1" quotePrefix="1">
      <alignment/>
    </xf>
    <xf numFmtId="0" fontId="13" fillId="0" borderId="0" xfId="0" applyFont="1" applyAlignment="1">
      <alignment/>
    </xf>
    <xf numFmtId="164" fontId="1" fillId="0" borderId="7" xfId="15" applyNumberFormat="1" applyFont="1" applyBorder="1" applyAlignment="1">
      <alignment horizontal="center"/>
    </xf>
    <xf numFmtId="37" fontId="9" fillId="0" borderId="13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9" fillId="0" borderId="0" xfId="0" applyFont="1" applyBorder="1" applyAlignment="1">
      <alignment/>
    </xf>
    <xf numFmtId="164" fontId="9" fillId="0" borderId="0" xfId="15" applyNumberFormat="1" applyFont="1" applyAlignment="1">
      <alignment horizontal="right"/>
    </xf>
    <xf numFmtId="164" fontId="9" fillId="0" borderId="0" xfId="15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1" fillId="0" borderId="0" xfId="15" applyNumberFormat="1" applyFont="1" applyAlignment="1">
      <alignment horizontal="center"/>
    </xf>
    <xf numFmtId="164" fontId="1" fillId="0" borderId="15" xfId="15" applyNumberFormat="1" applyFont="1" applyBorder="1" applyAlignment="1">
      <alignment/>
    </xf>
    <xf numFmtId="164" fontId="1" fillId="0" borderId="15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/>
    </xf>
    <xf numFmtId="43" fontId="1" fillId="0" borderId="15" xfId="15" applyNumberFormat="1" applyFont="1" applyBorder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64" fontId="9" fillId="0" borderId="15" xfId="15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164" fontId="1" fillId="0" borderId="9" xfId="15" applyNumberFormat="1" applyFont="1" applyBorder="1" applyAlignment="1">
      <alignment horizontal="center"/>
    </xf>
    <xf numFmtId="164" fontId="9" fillId="0" borderId="10" xfId="15" applyNumberFormat="1" applyFont="1" applyBorder="1" applyAlignment="1">
      <alignment horizontal="right"/>
    </xf>
    <xf numFmtId="43" fontId="1" fillId="0" borderId="0" xfId="0" applyNumberFormat="1" applyFont="1" applyAlignment="1">
      <alignment/>
    </xf>
    <xf numFmtId="164" fontId="7" fillId="0" borderId="7" xfId="15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22" xfId="15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8" xfId="0" applyFont="1" applyBorder="1" applyAlignment="1">
      <alignment horizontal="right"/>
    </xf>
    <xf numFmtId="164" fontId="1" fillId="0" borderId="40" xfId="15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/>
    </xf>
    <xf numFmtId="164" fontId="9" fillId="0" borderId="0" xfId="15" applyNumberFormat="1" applyFont="1" applyFill="1" applyAlignment="1">
      <alignment horizontal="right"/>
    </xf>
    <xf numFmtId="0" fontId="9" fillId="0" borderId="0" xfId="0" applyFont="1" applyFill="1" applyAlignment="1" quotePrefix="1">
      <alignment horizontal="right"/>
    </xf>
    <xf numFmtId="164" fontId="1" fillId="0" borderId="0" xfId="15" applyNumberFormat="1" applyFont="1" applyFill="1" applyAlignment="1">
      <alignment/>
    </xf>
    <xf numFmtId="9" fontId="1" fillId="0" borderId="41" xfId="0" applyNumberFormat="1" applyFont="1" applyBorder="1" applyAlignment="1">
      <alignment/>
    </xf>
    <xf numFmtId="9" fontId="1" fillId="0" borderId="4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34" xfId="0" applyFont="1" applyBorder="1" applyAlignment="1">
      <alignment/>
    </xf>
    <xf numFmtId="0" fontId="16" fillId="0" borderId="20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0" xfId="0" applyFont="1" applyBorder="1" applyAlignment="1">
      <alignment/>
    </xf>
    <xf numFmtId="164" fontId="7" fillId="0" borderId="8" xfId="15" applyNumberFormat="1" applyFont="1" applyFill="1" applyBorder="1" applyAlignment="1">
      <alignment/>
    </xf>
    <xf numFmtId="0" fontId="17" fillId="0" borderId="28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 horizontal="right"/>
    </xf>
    <xf numFmtId="0" fontId="17" fillId="0" borderId="43" xfId="0" applyFont="1" applyBorder="1" applyAlignment="1">
      <alignment/>
    </xf>
    <xf numFmtId="167" fontId="17" fillId="0" borderId="39" xfId="0" applyNumberFormat="1" applyFont="1" applyBorder="1" applyAlignment="1">
      <alignment/>
    </xf>
    <xf numFmtId="165" fontId="17" fillId="0" borderId="8" xfId="15" applyNumberFormat="1" applyFont="1" applyBorder="1" applyAlignment="1">
      <alignment/>
    </xf>
    <xf numFmtId="165" fontId="17" fillId="0" borderId="20" xfId="0" applyNumberFormat="1" applyFont="1" applyBorder="1" applyAlignment="1">
      <alignment/>
    </xf>
    <xf numFmtId="167" fontId="17" fillId="0" borderId="34" xfId="19" applyNumberFormat="1" applyFont="1" applyBorder="1" applyAlignment="1">
      <alignment/>
    </xf>
    <xf numFmtId="167" fontId="17" fillId="0" borderId="34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0" xfId="15" applyNumberFormat="1" applyFont="1" applyBorder="1" applyAlignment="1">
      <alignment/>
    </xf>
    <xf numFmtId="167" fontId="17" fillId="0" borderId="34" xfId="19" applyNumberFormat="1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32" xfId="0" applyFont="1" applyBorder="1" applyAlignment="1">
      <alignment/>
    </xf>
    <xf numFmtId="165" fontId="17" fillId="0" borderId="41" xfId="0" applyNumberFormat="1" applyFont="1" applyBorder="1" applyAlignment="1">
      <alignment/>
    </xf>
    <xf numFmtId="165" fontId="17" fillId="0" borderId="6" xfId="15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67" fontId="17" fillId="0" borderId="32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7" xfId="0" applyFont="1" applyBorder="1" applyAlignment="1">
      <alignment horizontal="right"/>
    </xf>
    <xf numFmtId="165" fontId="17" fillId="0" borderId="42" xfId="0" applyNumberFormat="1" applyFont="1" applyBorder="1" applyAlignment="1">
      <alignment/>
    </xf>
    <xf numFmtId="164" fontId="1" fillId="0" borderId="20" xfId="15" applyNumberFormat="1" applyFont="1" applyBorder="1" applyAlignment="1">
      <alignment/>
    </xf>
    <xf numFmtId="164" fontId="1" fillId="0" borderId="44" xfId="15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17" fillId="0" borderId="21" xfId="0" applyNumberFormat="1" applyFont="1" applyBorder="1" applyAlignment="1">
      <alignment/>
    </xf>
    <xf numFmtId="0" fontId="17" fillId="0" borderId="0" xfId="0" applyFont="1" applyAlignment="1">
      <alignment horizontal="center"/>
    </xf>
    <xf numFmtId="165" fontId="17" fillId="0" borderId="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/>
    </xf>
    <xf numFmtId="164" fontId="17" fillId="0" borderId="33" xfId="15" applyNumberFormat="1" applyFont="1" applyBorder="1" applyAlignment="1">
      <alignment/>
    </xf>
    <xf numFmtId="164" fontId="17" fillId="0" borderId="40" xfId="15" applyNumberFormat="1" applyFont="1" applyBorder="1" applyAlignment="1">
      <alignment/>
    </xf>
    <xf numFmtId="164" fontId="17" fillId="0" borderId="7" xfId="15" applyNumberFormat="1" applyFont="1" applyBorder="1" applyAlignment="1">
      <alignment/>
    </xf>
    <xf numFmtId="164" fontId="17" fillId="0" borderId="9" xfId="15" applyNumberFormat="1" applyFont="1" applyBorder="1" applyAlignment="1">
      <alignment/>
    </xf>
    <xf numFmtId="164" fontId="17" fillId="0" borderId="41" xfId="15" applyNumberFormat="1" applyFont="1" applyBorder="1" applyAlignment="1">
      <alignment/>
    </xf>
    <xf numFmtId="164" fontId="17" fillId="0" borderId="48" xfId="15" applyNumberFormat="1" applyFont="1" applyBorder="1" applyAlignment="1">
      <alignment/>
    </xf>
    <xf numFmtId="164" fontId="17" fillId="0" borderId="20" xfId="15" applyNumberFormat="1" applyFont="1" applyBorder="1" applyAlignment="1">
      <alignment/>
    </xf>
    <xf numFmtId="164" fontId="17" fillId="0" borderId="5" xfId="15" applyNumberFormat="1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5" fontId="17" fillId="0" borderId="33" xfId="15" applyNumberFormat="1" applyFont="1" applyBorder="1" applyAlignment="1">
      <alignment/>
    </xf>
    <xf numFmtId="165" fontId="17" fillId="0" borderId="40" xfId="15" applyNumberFormat="1" applyFont="1" applyBorder="1" applyAlignment="1">
      <alignment/>
    </xf>
    <xf numFmtId="165" fontId="17" fillId="0" borderId="7" xfId="15" applyNumberFormat="1" applyFont="1" applyBorder="1" applyAlignment="1">
      <alignment/>
    </xf>
    <xf numFmtId="165" fontId="17" fillId="0" borderId="9" xfId="15" applyNumberFormat="1" applyFont="1" applyBorder="1" applyAlignment="1">
      <alignment/>
    </xf>
    <xf numFmtId="165" fontId="17" fillId="0" borderId="41" xfId="15" applyNumberFormat="1" applyFont="1" applyBorder="1" applyAlignment="1">
      <alignment/>
    </xf>
    <xf numFmtId="165" fontId="17" fillId="0" borderId="34" xfId="15" applyNumberFormat="1" applyFont="1" applyBorder="1" applyAlignment="1">
      <alignment/>
    </xf>
    <xf numFmtId="0" fontId="17" fillId="0" borderId="26" xfId="0" applyFont="1" applyBorder="1" applyAlignment="1">
      <alignment horizontal="center"/>
    </xf>
    <xf numFmtId="165" fontId="17" fillId="0" borderId="48" xfId="15" applyNumberFormat="1" applyFont="1" applyBorder="1" applyAlignment="1">
      <alignment/>
    </xf>
    <xf numFmtId="165" fontId="17" fillId="0" borderId="8" xfId="15" applyNumberFormat="1" applyFont="1" applyBorder="1" applyAlignment="1">
      <alignment horizontal="right"/>
    </xf>
    <xf numFmtId="165" fontId="17" fillId="0" borderId="20" xfId="15" applyNumberFormat="1" applyFont="1" applyBorder="1" applyAlignment="1">
      <alignment/>
    </xf>
    <xf numFmtId="165" fontId="17" fillId="0" borderId="5" xfId="15" applyNumberFormat="1" applyFont="1" applyBorder="1" applyAlignment="1">
      <alignment/>
    </xf>
    <xf numFmtId="165" fontId="17" fillId="0" borderId="34" xfId="15" applyNumberFormat="1" applyFont="1" applyBorder="1" applyAlignment="1">
      <alignment horizontal="right"/>
    </xf>
    <xf numFmtId="0" fontId="17" fillId="0" borderId="38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65" fontId="17" fillId="0" borderId="30" xfId="15" applyNumberFormat="1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9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164" fontId="22" fillId="0" borderId="10" xfId="15" applyNumberFormat="1" applyFont="1" applyBorder="1" applyAlignment="1">
      <alignment/>
    </xf>
    <xf numFmtId="164" fontId="22" fillId="0" borderId="2" xfId="15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64" fontId="22" fillId="0" borderId="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21" fillId="0" borderId="2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4" fontId="22" fillId="0" borderId="0" xfId="15" applyNumberFormat="1" applyFont="1" applyAlignment="1">
      <alignment/>
    </xf>
    <xf numFmtId="170" fontId="22" fillId="0" borderId="0" xfId="15" applyNumberFormat="1" applyFont="1" applyAlignment="1">
      <alignment/>
    </xf>
    <xf numFmtId="165" fontId="22" fillId="0" borderId="0" xfId="15" applyNumberFormat="1" applyFont="1" applyAlignment="1">
      <alignment/>
    </xf>
    <xf numFmtId="164" fontId="22" fillId="0" borderId="0" xfId="0" applyNumberFormat="1" applyFont="1" applyAlignment="1">
      <alignment/>
    </xf>
    <xf numFmtId="43" fontId="17" fillId="0" borderId="8" xfId="15" applyNumberFormat="1" applyFont="1" applyBorder="1" applyAlignment="1">
      <alignment/>
    </xf>
    <xf numFmtId="43" fontId="17" fillId="0" borderId="42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3" fontId="17" fillId="0" borderId="0" xfId="15" applyNumberFormat="1" applyFont="1" applyBorder="1" applyAlignment="1">
      <alignment/>
    </xf>
    <xf numFmtId="43" fontId="17" fillId="0" borderId="9" xfId="0" applyNumberFormat="1" applyFont="1" applyBorder="1" applyAlignment="1">
      <alignment/>
    </xf>
    <xf numFmtId="43" fontId="17" fillId="0" borderId="41" xfId="0" applyNumberFormat="1" applyFont="1" applyBorder="1" applyAlignment="1">
      <alignment/>
    </xf>
    <xf numFmtId="2" fontId="17" fillId="0" borderId="34" xfId="19" applyNumberFormat="1" applyFont="1" applyBorder="1" applyAlignment="1">
      <alignment/>
    </xf>
    <xf numFmtId="2" fontId="17" fillId="0" borderId="34" xfId="0" applyNumberFormat="1" applyFont="1" applyBorder="1" applyAlignment="1">
      <alignment/>
    </xf>
    <xf numFmtId="2" fontId="17" fillId="0" borderId="34" xfId="19" applyNumberFormat="1" applyFont="1" applyBorder="1" applyAlignment="1">
      <alignment horizontal="right"/>
    </xf>
    <xf numFmtId="2" fontId="17" fillId="0" borderId="21" xfId="0" applyNumberFormat="1" applyFont="1" applyBorder="1" applyAlignment="1">
      <alignment/>
    </xf>
    <xf numFmtId="43" fontId="17" fillId="0" borderId="6" xfId="15" applyNumberFormat="1" applyFont="1" applyBorder="1" applyAlignment="1">
      <alignment/>
    </xf>
    <xf numFmtId="43" fontId="17" fillId="0" borderId="11" xfId="15" applyNumberFormat="1" applyFont="1" applyBorder="1" applyAlignment="1">
      <alignment/>
    </xf>
    <xf numFmtId="43" fontId="17" fillId="0" borderId="20" xfId="0" applyNumberFormat="1" applyFont="1" applyBorder="1" applyAlignment="1">
      <alignment/>
    </xf>
    <xf numFmtId="43" fontId="17" fillId="0" borderId="10" xfId="0" applyNumberFormat="1" applyFont="1" applyBorder="1" applyAlignment="1">
      <alignment/>
    </xf>
    <xf numFmtId="43" fontId="17" fillId="0" borderId="11" xfId="0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4" fontId="1" fillId="0" borderId="13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5" fillId="0" borderId="13" xfId="15" applyNumberFormat="1" applyFont="1" applyBorder="1" applyAlignment="1">
      <alignment/>
    </xf>
    <xf numFmtId="164" fontId="5" fillId="0" borderId="15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5" fillId="0" borderId="10" xfId="15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37" fontId="9" fillId="0" borderId="0" xfId="15" applyNumberFormat="1" applyFont="1" applyBorder="1" applyAlignment="1">
      <alignment horizontal="right"/>
    </xf>
    <xf numFmtId="0" fontId="22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24" xfId="0" applyFont="1" applyBorder="1" applyAlignment="1">
      <alignment/>
    </xf>
    <xf numFmtId="170" fontId="22" fillId="0" borderId="0" xfId="15" applyNumberFormat="1" applyFont="1" applyBorder="1" applyAlignment="1">
      <alignment/>
    </xf>
    <xf numFmtId="165" fontId="22" fillId="0" borderId="0" xfId="15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0" xfId="0" applyBorder="1" applyAlignment="1">
      <alignment/>
    </xf>
    <xf numFmtId="2" fontId="17" fillId="0" borderId="39" xfId="0" applyNumberFormat="1" applyFont="1" applyBorder="1" applyAlignment="1">
      <alignment/>
    </xf>
    <xf numFmtId="2" fontId="17" fillId="0" borderId="32" xfId="0" applyNumberFormat="1" applyFont="1" applyBorder="1" applyAlignment="1">
      <alignment/>
    </xf>
    <xf numFmtId="9" fontId="1" fillId="0" borderId="34" xfId="15" applyNumberFormat="1" applyFont="1" applyBorder="1" applyAlignment="1">
      <alignment/>
    </xf>
    <xf numFmtId="0" fontId="0" fillId="0" borderId="7" xfId="0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49" xfId="15" applyNumberFormat="1" applyFont="1" applyBorder="1" applyAlignment="1">
      <alignment/>
    </xf>
    <xf numFmtId="0" fontId="1" fillId="0" borderId="19" xfId="0" applyFont="1" applyBorder="1" applyAlignment="1" quotePrefix="1">
      <alignment/>
    </xf>
    <xf numFmtId="0" fontId="21" fillId="0" borderId="0" xfId="0" applyFont="1" applyBorder="1" applyAlignment="1">
      <alignment/>
    </xf>
    <xf numFmtId="2" fontId="16" fillId="0" borderId="41" xfId="0" applyNumberFormat="1" applyFont="1" applyBorder="1" applyAlignment="1">
      <alignment/>
    </xf>
    <xf numFmtId="43" fontId="5" fillId="0" borderId="7" xfId="15" applyFont="1" applyBorder="1" applyAlignment="1">
      <alignment/>
    </xf>
    <xf numFmtId="164" fontId="9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1" fillId="0" borderId="7" xfId="15" applyNumberFormat="1" applyFont="1" applyFill="1" applyBorder="1" applyAlignment="1">
      <alignment/>
    </xf>
    <xf numFmtId="164" fontId="1" fillId="2" borderId="7" xfId="15" applyNumberFormat="1" applyFont="1" applyFill="1" applyBorder="1" applyAlignment="1">
      <alignment/>
    </xf>
    <xf numFmtId="164" fontId="1" fillId="2" borderId="0" xfId="15" applyNumberFormat="1" applyFont="1" applyFill="1" applyAlignment="1">
      <alignment/>
    </xf>
    <xf numFmtId="164" fontId="1" fillId="3" borderId="7" xfId="15" applyNumberFormat="1" applyFont="1" applyFill="1" applyBorder="1" applyAlignment="1">
      <alignment/>
    </xf>
    <xf numFmtId="164" fontId="1" fillId="3" borderId="7" xfId="15" applyNumberFormat="1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4" fontId="1" fillId="0" borderId="7" xfId="15" applyNumberFormat="1" applyFont="1" applyFill="1" applyBorder="1" applyAlignment="1">
      <alignment horizontal="right"/>
    </xf>
    <xf numFmtId="164" fontId="1" fillId="0" borderId="2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43" fontId="17" fillId="0" borderId="21" xfId="0" applyNumberFormat="1" applyFont="1" applyBorder="1" applyAlignment="1">
      <alignment/>
    </xf>
    <xf numFmtId="165" fontId="17" fillId="0" borderId="7" xfId="0" applyNumberFormat="1" applyFont="1" applyBorder="1" applyAlignment="1">
      <alignment/>
    </xf>
    <xf numFmtId="43" fontId="17" fillId="0" borderId="7" xfId="0" applyNumberFormat="1" applyFont="1" applyBorder="1" applyAlignment="1">
      <alignment/>
    </xf>
    <xf numFmtId="2" fontId="17" fillId="0" borderId="23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9" xfId="0" applyFont="1" applyBorder="1" applyAlignment="1">
      <alignment horizontal="center"/>
    </xf>
    <xf numFmtId="167" fontId="17" fillId="0" borderId="50" xfId="0" applyNumberFormat="1" applyFont="1" applyBorder="1" applyAlignment="1">
      <alignment/>
    </xf>
    <xf numFmtId="2" fontId="17" fillId="0" borderId="21" xfId="19" applyNumberFormat="1" applyFont="1" applyBorder="1" applyAlignment="1">
      <alignment/>
    </xf>
    <xf numFmtId="0" fontId="17" fillId="0" borderId="3" xfId="0" applyFont="1" applyBorder="1" applyAlignment="1">
      <alignment/>
    </xf>
    <xf numFmtId="43" fontId="17" fillId="0" borderId="7" xfId="15" applyNumberFormat="1" applyFont="1" applyBorder="1" applyAlignment="1">
      <alignment/>
    </xf>
    <xf numFmtId="43" fontId="17" fillId="0" borderId="5" xfId="0" applyNumberFormat="1" applyFont="1" applyBorder="1" applyAlignment="1">
      <alignment/>
    </xf>
    <xf numFmtId="0" fontId="1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64" fontId="9" fillId="0" borderId="0" xfId="15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42" xfId="0" applyFont="1" applyBorder="1" applyAlignment="1">
      <alignment/>
    </xf>
    <xf numFmtId="41" fontId="1" fillId="0" borderId="8" xfId="15" applyNumberFormat="1" applyFont="1" applyBorder="1" applyAlignment="1">
      <alignment/>
    </xf>
    <xf numFmtId="41" fontId="1" fillId="0" borderId="7" xfId="15" applyNumberFormat="1" applyFont="1" applyBorder="1" applyAlignment="1">
      <alignment/>
    </xf>
    <xf numFmtId="41" fontId="1" fillId="0" borderId="9" xfId="15" applyNumberFormat="1" applyFont="1" applyBorder="1" applyAlignment="1">
      <alignment/>
    </xf>
    <xf numFmtId="41" fontId="1" fillId="0" borderId="7" xfId="15" applyNumberFormat="1" applyFont="1" applyBorder="1" applyAlignment="1">
      <alignment horizontal="right"/>
    </xf>
    <xf numFmtId="41" fontId="1" fillId="0" borderId="7" xfId="15" applyNumberFormat="1" applyFont="1" applyBorder="1" applyAlignment="1">
      <alignment horizontal="center"/>
    </xf>
    <xf numFmtId="41" fontId="1" fillId="0" borderId="5" xfId="15" applyNumberFormat="1" applyFont="1" applyBorder="1" applyAlignment="1">
      <alignment/>
    </xf>
    <xf numFmtId="41" fontId="1" fillId="0" borderId="5" xfId="15" applyNumberFormat="1" applyFont="1" applyBorder="1" applyAlignment="1">
      <alignment horizontal="center"/>
    </xf>
    <xf numFmtId="0" fontId="1" fillId="3" borderId="7" xfId="0" applyFont="1" applyFill="1" applyBorder="1" applyAlignment="1">
      <alignment/>
    </xf>
    <xf numFmtId="41" fontId="1" fillId="3" borderId="7" xfId="15" applyNumberFormat="1" applyFont="1" applyFill="1" applyBorder="1" applyAlignment="1">
      <alignment/>
    </xf>
    <xf numFmtId="41" fontId="1" fillId="0" borderId="6" xfId="15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51" xfId="15" applyNumberFormat="1" applyFont="1" applyBorder="1" applyAlignment="1">
      <alignment/>
    </xf>
    <xf numFmtId="41" fontId="1" fillId="0" borderId="11" xfId="15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1" fillId="0" borderId="3" xfId="15" applyNumberFormat="1" applyFont="1" applyFill="1" applyBorder="1" applyAlignment="1">
      <alignment/>
    </xf>
    <xf numFmtId="164" fontId="1" fillId="3" borderId="5" xfId="15" applyNumberFormat="1" applyFont="1" applyFill="1" applyBorder="1" applyAlignment="1">
      <alignment/>
    </xf>
    <xf numFmtId="164" fontId="1" fillId="0" borderId="5" xfId="15" applyNumberFormat="1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164" fontId="1" fillId="3" borderId="0" xfId="15" applyNumberFormat="1" applyFont="1" applyFill="1" applyAlignment="1">
      <alignment/>
    </xf>
    <xf numFmtId="164" fontId="1" fillId="2" borderId="3" xfId="15" applyNumberFormat="1" applyFont="1" applyFill="1" applyBorder="1" applyAlignment="1">
      <alignment horizontal="right"/>
    </xf>
    <xf numFmtId="164" fontId="1" fillId="3" borderId="5" xfId="15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164" fontId="1" fillId="4" borderId="1" xfId="15" applyNumberFormat="1" applyFont="1" applyFill="1" applyBorder="1" applyAlignment="1">
      <alignment/>
    </xf>
    <xf numFmtId="164" fontId="22" fillId="4" borderId="2" xfId="15" applyNumberFormat="1" applyFont="1" applyFill="1" applyBorder="1" applyAlignment="1">
      <alignment/>
    </xf>
    <xf numFmtId="164" fontId="22" fillId="4" borderId="1" xfId="0" applyNumberFormat="1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64" fontId="9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15" applyNumberFormat="1" applyFont="1" applyFill="1" applyBorder="1" applyAlignment="1">
      <alignment horizontal="center"/>
    </xf>
    <xf numFmtId="43" fontId="9" fillId="0" borderId="0" xfId="15" applyFont="1" applyFill="1" applyAlignment="1">
      <alignment/>
    </xf>
    <xf numFmtId="164" fontId="9" fillId="0" borderId="0" xfId="15" applyNumberFormat="1" applyFont="1" applyFill="1" applyAlignment="1">
      <alignment/>
    </xf>
    <xf numFmtId="164" fontId="9" fillId="0" borderId="1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13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right"/>
    </xf>
    <xf numFmtId="164" fontId="17" fillId="0" borderId="19" xfId="15" applyNumberFormat="1" applyFont="1" applyBorder="1" applyAlignment="1">
      <alignment/>
    </xf>
    <xf numFmtId="164" fontId="17" fillId="0" borderId="42" xfId="15" applyNumberFormat="1" applyFont="1" applyBorder="1" applyAlignment="1">
      <alignment/>
    </xf>
    <xf numFmtId="164" fontId="17" fillId="0" borderId="45" xfId="15" applyNumberFormat="1" applyFont="1" applyBorder="1" applyAlignment="1">
      <alignment/>
    </xf>
    <xf numFmtId="43" fontId="17" fillId="0" borderId="42" xfId="15" applyFont="1" applyBorder="1" applyAlignment="1">
      <alignment/>
    </xf>
    <xf numFmtId="38" fontId="23" fillId="0" borderId="0" xfId="0" applyNumberFormat="1" applyFont="1" applyFill="1" applyAlignment="1">
      <alignment/>
    </xf>
    <xf numFmtId="38" fontId="24" fillId="0" borderId="0" xfId="0" applyNumberFormat="1" applyFont="1" applyFill="1" applyAlignment="1">
      <alignment/>
    </xf>
    <xf numFmtId="38" fontId="23" fillId="0" borderId="0" xfId="0" applyNumberFormat="1" applyFont="1" applyFill="1" applyAlignment="1">
      <alignment horizontal="center"/>
    </xf>
    <xf numFmtId="38" fontId="23" fillId="0" borderId="0" xfId="0" applyNumberFormat="1" applyFont="1" applyFill="1" applyAlignment="1">
      <alignment horizontal="right"/>
    </xf>
    <xf numFmtId="38" fontId="24" fillId="0" borderId="3" xfId="0" applyNumberFormat="1" applyFont="1" applyFill="1" applyBorder="1" applyAlignment="1">
      <alignment horizontal="center"/>
    </xf>
    <xf numFmtId="38" fontId="24" fillId="0" borderId="14" xfId="0" applyNumberFormat="1" applyFont="1" applyFill="1" applyBorder="1" applyAlignment="1">
      <alignment horizontal="center"/>
    </xf>
    <xf numFmtId="38" fontId="24" fillId="0" borderId="4" xfId="0" applyNumberFormat="1" applyFont="1" applyFill="1" applyBorder="1" applyAlignment="1">
      <alignment horizontal="center"/>
    </xf>
    <xf numFmtId="38" fontId="23" fillId="0" borderId="3" xfId="0" applyNumberFormat="1" applyFont="1" applyFill="1" applyBorder="1" applyAlignment="1">
      <alignment horizontal="center"/>
    </xf>
    <xf numFmtId="38" fontId="23" fillId="0" borderId="11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38" fontId="24" fillId="0" borderId="0" xfId="0" applyNumberFormat="1" applyFont="1" applyFill="1" applyBorder="1" applyAlignment="1">
      <alignment horizontal="center"/>
    </xf>
    <xf numFmtId="38" fontId="24" fillId="0" borderId="5" xfId="0" applyNumberFormat="1" applyFont="1" applyFill="1" applyBorder="1" applyAlignment="1">
      <alignment horizontal="center"/>
    </xf>
    <xf numFmtId="38" fontId="24" fillId="0" borderId="22" xfId="0" applyNumberFormat="1" applyFont="1" applyFill="1" applyBorder="1" applyAlignment="1">
      <alignment horizontal="center"/>
    </xf>
    <xf numFmtId="38" fontId="24" fillId="0" borderId="6" xfId="0" applyNumberFormat="1" applyFont="1" applyFill="1" applyBorder="1" applyAlignment="1">
      <alignment horizontal="center"/>
    </xf>
    <xf numFmtId="38" fontId="23" fillId="0" borderId="5" xfId="0" applyNumberFormat="1" applyFont="1" applyFill="1" applyBorder="1" applyAlignment="1">
      <alignment horizontal="center"/>
    </xf>
    <xf numFmtId="38" fontId="25" fillId="0" borderId="5" xfId="0" applyNumberFormat="1" applyFont="1" applyFill="1" applyBorder="1" applyAlignment="1">
      <alignment horizontal="center"/>
    </xf>
    <xf numFmtId="9" fontId="26" fillId="0" borderId="11" xfId="19" applyFont="1" applyFill="1" applyBorder="1" applyAlignment="1">
      <alignment/>
    </xf>
    <xf numFmtId="9" fontId="27" fillId="0" borderId="11" xfId="19" applyFont="1" applyFill="1" applyBorder="1" applyAlignment="1">
      <alignment horizontal="center"/>
    </xf>
    <xf numFmtId="9" fontId="26" fillId="0" borderId="11" xfId="19" applyFont="1" applyFill="1" applyBorder="1" applyAlignment="1">
      <alignment horizontal="center"/>
    </xf>
    <xf numFmtId="9" fontId="27" fillId="0" borderId="11" xfId="19" applyFont="1" applyFill="1" applyBorder="1" applyAlignment="1">
      <alignment/>
    </xf>
    <xf numFmtId="9" fontId="26" fillId="0" borderId="0" xfId="19" applyFont="1" applyFill="1" applyAlignment="1">
      <alignment/>
    </xf>
    <xf numFmtId="38" fontId="24" fillId="0" borderId="11" xfId="0" applyNumberFormat="1" applyFont="1" applyFill="1" applyBorder="1" applyAlignment="1">
      <alignment/>
    </xf>
    <xf numFmtId="38" fontId="24" fillId="0" borderId="52" xfId="0" applyNumberFormat="1" applyFont="1" applyFill="1" applyBorder="1" applyAlignment="1">
      <alignment/>
    </xf>
    <xf numFmtId="38" fontId="24" fillId="0" borderId="49" xfId="0" applyNumberFormat="1" applyFont="1" applyFill="1" applyBorder="1" applyAlignment="1">
      <alignment/>
    </xf>
    <xf numFmtId="38" fontId="24" fillId="0" borderId="3" xfId="0" applyNumberFormat="1" applyFont="1" applyFill="1" applyBorder="1" applyAlignment="1">
      <alignment/>
    </xf>
    <xf numFmtId="38" fontId="24" fillId="0" borderId="14" xfId="0" applyNumberFormat="1" applyFont="1" applyFill="1" applyBorder="1" applyAlignment="1">
      <alignment/>
    </xf>
    <xf numFmtId="38" fontId="24" fillId="0" borderId="24" xfId="0" applyNumberFormat="1" applyFont="1" applyFill="1" applyBorder="1" applyAlignment="1">
      <alignment/>
    </xf>
    <xf numFmtId="164" fontId="24" fillId="0" borderId="3" xfId="15" applyNumberFormat="1" applyFont="1" applyFill="1" applyBorder="1" applyAlignment="1">
      <alignment/>
    </xf>
    <xf numFmtId="38" fontId="24" fillId="0" borderId="3" xfId="15" applyNumberFormat="1" applyFont="1" applyFill="1" applyBorder="1" applyAlignment="1">
      <alignment horizontal="center"/>
    </xf>
    <xf numFmtId="38" fontId="24" fillId="0" borderId="3" xfId="15" applyNumberFormat="1" applyFont="1" applyFill="1" applyBorder="1" applyAlignment="1">
      <alignment/>
    </xf>
    <xf numFmtId="38" fontId="24" fillId="0" borderId="53" xfId="15" applyNumberFormat="1" applyFont="1" applyFill="1" applyBorder="1" applyAlignment="1">
      <alignment/>
    </xf>
    <xf numFmtId="38" fontId="24" fillId="0" borderId="53" xfId="0" applyNumberFormat="1" applyFont="1" applyFill="1" applyBorder="1" applyAlignment="1">
      <alignment/>
    </xf>
    <xf numFmtId="38" fontId="24" fillId="0" borderId="7" xfId="0" applyNumberFormat="1" applyFont="1" applyFill="1" applyBorder="1" applyAlignment="1">
      <alignment/>
    </xf>
    <xf numFmtId="38" fontId="24" fillId="0" borderId="20" xfId="0" applyNumberFormat="1" applyFont="1" applyFill="1" applyBorder="1" applyAlignment="1">
      <alignment/>
    </xf>
    <xf numFmtId="38" fontId="24" fillId="0" borderId="0" xfId="0" applyNumberFormat="1" applyFont="1" applyFill="1" applyBorder="1" applyAlignment="1">
      <alignment/>
    </xf>
    <xf numFmtId="164" fontId="24" fillId="0" borderId="7" xfId="15" applyNumberFormat="1" applyFont="1" applyFill="1" applyBorder="1" applyAlignment="1">
      <alignment/>
    </xf>
    <xf numFmtId="38" fontId="24" fillId="0" borderId="7" xfId="15" applyNumberFormat="1" applyFont="1" applyFill="1" applyBorder="1" applyAlignment="1">
      <alignment horizontal="center"/>
    </xf>
    <xf numFmtId="38" fontId="24" fillId="0" borderId="7" xfId="15" applyNumberFormat="1" applyFont="1" applyFill="1" applyBorder="1" applyAlignment="1">
      <alignment/>
    </xf>
    <xf numFmtId="38" fontId="24" fillId="0" borderId="7" xfId="0" applyNumberFormat="1" applyFont="1" applyFill="1" applyBorder="1" applyAlignment="1">
      <alignment horizontal="right"/>
    </xf>
    <xf numFmtId="38" fontId="24" fillId="0" borderId="54" xfId="15" applyNumberFormat="1" applyFont="1" applyFill="1" applyBorder="1" applyAlignment="1">
      <alignment/>
    </xf>
    <xf numFmtId="38" fontId="24" fillId="0" borderId="54" xfId="0" applyNumberFormat="1" applyFont="1" applyFill="1" applyBorder="1" applyAlignment="1">
      <alignment/>
    </xf>
    <xf numFmtId="164" fontId="24" fillId="0" borderId="7" xfId="0" applyNumberFormat="1" applyFont="1" applyFill="1" applyBorder="1" applyAlignment="1">
      <alignment/>
    </xf>
    <xf numFmtId="38" fontId="24" fillId="0" borderId="0" xfId="15" applyNumberFormat="1" applyFont="1" applyFill="1" applyBorder="1" applyAlignment="1">
      <alignment/>
    </xf>
    <xf numFmtId="38" fontId="24" fillId="0" borderId="5" xfId="15" applyNumberFormat="1" applyFont="1" applyFill="1" applyBorder="1" applyAlignment="1">
      <alignment/>
    </xf>
    <xf numFmtId="38" fontId="24" fillId="0" borderId="5" xfId="0" applyNumberFormat="1" applyFont="1" applyFill="1" applyBorder="1" applyAlignment="1">
      <alignment/>
    </xf>
    <xf numFmtId="38" fontId="24" fillId="0" borderId="20" xfId="0" applyNumberFormat="1" applyFont="1" applyFill="1" applyBorder="1" applyAlignment="1">
      <alignment horizontal="right"/>
    </xf>
    <xf numFmtId="38" fontId="24" fillId="0" borderId="7" xfId="0" applyNumberFormat="1" applyFont="1" applyFill="1" applyBorder="1" applyAlignment="1">
      <alignment horizontal="center"/>
    </xf>
    <xf numFmtId="38" fontId="24" fillId="0" borderId="7" xfId="15" applyNumberFormat="1" applyFont="1" applyFill="1" applyBorder="1" applyAlignment="1">
      <alignment horizontal="right"/>
    </xf>
    <xf numFmtId="38" fontId="24" fillId="0" borderId="5" xfId="0" applyNumberFormat="1" applyFont="1" applyFill="1" applyBorder="1" applyAlignment="1">
      <alignment horizontal="right"/>
    </xf>
    <xf numFmtId="38" fontId="24" fillId="0" borderId="22" xfId="0" applyNumberFormat="1" applyFont="1" applyFill="1" applyBorder="1" applyAlignment="1">
      <alignment horizontal="right"/>
    </xf>
    <xf numFmtId="38" fontId="24" fillId="0" borderId="10" xfId="0" applyNumberFormat="1" applyFont="1" applyFill="1" applyBorder="1" applyAlignment="1">
      <alignment/>
    </xf>
    <xf numFmtId="164" fontId="24" fillId="0" borderId="5" xfId="15" applyNumberFormat="1" applyFont="1" applyFill="1" applyBorder="1" applyAlignment="1">
      <alignment/>
    </xf>
    <xf numFmtId="38" fontId="24" fillId="0" borderId="5" xfId="15" applyNumberFormat="1" applyFont="1" applyFill="1" applyBorder="1" applyAlignment="1">
      <alignment horizontal="center"/>
    </xf>
    <xf numFmtId="38" fontId="24" fillId="0" borderId="22" xfId="15" applyNumberFormat="1" applyFont="1" applyFill="1" applyBorder="1" applyAlignment="1">
      <alignment/>
    </xf>
    <xf numFmtId="38" fontId="24" fillId="0" borderId="40" xfId="15" applyNumberFormat="1" applyFont="1" applyFill="1" applyBorder="1" applyAlignment="1">
      <alignment/>
    </xf>
    <xf numFmtId="38" fontId="24" fillId="0" borderId="0" xfId="0" applyNumberFormat="1" applyFont="1" applyFill="1" applyAlignment="1">
      <alignment horizontal="center"/>
    </xf>
    <xf numFmtId="38" fontId="23" fillId="0" borderId="0" xfId="0" applyNumberFormat="1" applyFont="1" applyFill="1" applyBorder="1" applyAlignment="1">
      <alignment/>
    </xf>
    <xf numFmtId="38" fontId="23" fillId="0" borderId="0" xfId="0" applyNumberFormat="1" applyFont="1" applyFill="1" applyBorder="1" applyAlignment="1">
      <alignment horizontal="center"/>
    </xf>
    <xf numFmtId="38" fontId="23" fillId="0" borderId="0" xfId="0" applyNumberFormat="1" applyFont="1" applyFill="1" applyBorder="1" applyAlignment="1" quotePrefix="1">
      <alignment horizontal="center"/>
    </xf>
    <xf numFmtId="38" fontId="24" fillId="0" borderId="0" xfId="0" applyNumberFormat="1" applyFont="1" applyFill="1" applyBorder="1" applyAlignment="1" quotePrefix="1">
      <alignment/>
    </xf>
    <xf numFmtId="38" fontId="26" fillId="0" borderId="0" xfId="0" applyNumberFormat="1" applyFont="1" applyFill="1" applyBorder="1" applyAlignment="1" quotePrefix="1">
      <alignment/>
    </xf>
    <xf numFmtId="38" fontId="24" fillId="0" borderId="0" xfId="0" applyNumberFormat="1" applyFont="1" applyFill="1" applyBorder="1" applyAlignment="1">
      <alignment/>
    </xf>
    <xf numFmtId="2" fontId="17" fillId="0" borderId="34" xfId="0" applyNumberFormat="1" applyFont="1" applyBorder="1" applyAlignment="1" quotePrefix="1">
      <alignment/>
    </xf>
    <xf numFmtId="164" fontId="0" fillId="0" borderId="0" xfId="0" applyNumberFormat="1" applyAlignment="1">
      <alignment/>
    </xf>
    <xf numFmtId="0" fontId="0" fillId="0" borderId="24" xfId="0" applyBorder="1" applyAlignment="1">
      <alignment/>
    </xf>
    <xf numFmtId="43" fontId="0" fillId="0" borderId="4" xfId="0" applyNumberFormat="1" applyBorder="1" applyAlignment="1">
      <alignment/>
    </xf>
    <xf numFmtId="164" fontId="22" fillId="0" borderId="0" xfId="15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0" fontId="1" fillId="0" borderId="0" xfId="15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24" xfId="0" applyNumberFormat="1" applyFont="1" applyBorder="1" applyAlignment="1">
      <alignment/>
    </xf>
    <xf numFmtId="173" fontId="22" fillId="0" borderId="0" xfId="0" applyNumberFormat="1" applyFont="1" applyBorder="1" applyAlignment="1">
      <alignment/>
    </xf>
    <xf numFmtId="173" fontId="22" fillId="0" borderId="0" xfId="15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164" fontId="1" fillId="0" borderId="12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73" fontId="0" fillId="0" borderId="13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17" fillId="0" borderId="55" xfId="15" applyNumberFormat="1" applyFont="1" applyBorder="1" applyAlignment="1">
      <alignment/>
    </xf>
    <xf numFmtId="165" fontId="17" fillId="0" borderId="55" xfId="0" applyNumberFormat="1" applyFont="1" applyBorder="1" applyAlignment="1">
      <alignment/>
    </xf>
    <xf numFmtId="164" fontId="17" fillId="0" borderId="17" xfId="15" applyNumberFormat="1" applyFont="1" applyBorder="1" applyAlignment="1">
      <alignment/>
    </xf>
    <xf numFmtId="43" fontId="17" fillId="0" borderId="55" xfId="15" applyFont="1" applyBorder="1" applyAlignment="1">
      <alignment/>
    </xf>
    <xf numFmtId="2" fontId="16" fillId="0" borderId="50" xfId="0" applyNumberFormat="1" applyFont="1" applyBorder="1" applyAlignment="1">
      <alignment/>
    </xf>
    <xf numFmtId="164" fontId="17" fillId="0" borderId="56" xfId="15" applyNumberFormat="1" applyFont="1" applyBorder="1" applyAlignment="1">
      <alignment/>
    </xf>
    <xf numFmtId="165" fontId="17" fillId="0" borderId="56" xfId="0" applyNumberFormat="1" applyFont="1" applyBorder="1" applyAlignment="1">
      <alignment/>
    </xf>
    <xf numFmtId="43" fontId="17" fillId="0" borderId="56" xfId="15" applyFont="1" applyBorder="1" applyAlignment="1">
      <alignment/>
    </xf>
    <xf numFmtId="2" fontId="16" fillId="0" borderId="56" xfId="0" applyNumberFormat="1" applyFont="1" applyBorder="1" applyAlignment="1">
      <alignment/>
    </xf>
    <xf numFmtId="164" fontId="17" fillId="0" borderId="57" xfId="15" applyNumberFormat="1" applyFont="1" applyBorder="1" applyAlignment="1">
      <alignment/>
    </xf>
    <xf numFmtId="165" fontId="17" fillId="0" borderId="57" xfId="0" applyNumberFormat="1" applyFont="1" applyBorder="1" applyAlignment="1">
      <alignment/>
    </xf>
    <xf numFmtId="43" fontId="17" fillId="0" borderId="57" xfId="15" applyFont="1" applyBorder="1" applyAlignment="1">
      <alignment/>
    </xf>
    <xf numFmtId="2" fontId="16" fillId="0" borderId="42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5" borderId="0" xfId="0" applyFont="1" applyFill="1" applyAlignment="1">
      <alignment horizontal="center"/>
    </xf>
    <xf numFmtId="173" fontId="1" fillId="0" borderId="33" xfId="0" applyNumberFormat="1" applyFont="1" applyBorder="1" applyAlignment="1">
      <alignment/>
    </xf>
    <xf numFmtId="173" fontId="1" fillId="0" borderId="8" xfId="0" applyNumberFormat="1" applyFont="1" applyBorder="1" applyAlignment="1">
      <alignment horizontal="right"/>
    </xf>
    <xf numFmtId="173" fontId="1" fillId="0" borderId="7" xfId="0" applyNumberFormat="1" applyFont="1" applyBorder="1" applyAlignment="1">
      <alignment/>
    </xf>
    <xf numFmtId="173" fontId="1" fillId="0" borderId="34" xfId="0" applyNumberFormat="1" applyFont="1" applyBorder="1" applyAlignment="1">
      <alignment/>
    </xf>
    <xf numFmtId="164" fontId="29" fillId="0" borderId="7" xfId="15" applyNumberFormat="1" applyFont="1" applyBorder="1" applyAlignment="1">
      <alignment/>
    </xf>
    <xf numFmtId="164" fontId="29" fillId="0" borderId="7" xfId="15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/>
    </xf>
    <xf numFmtId="0" fontId="5" fillId="5" borderId="6" xfId="0" applyFont="1" applyFill="1" applyBorder="1" applyAlignment="1">
      <alignment horizontal="center"/>
    </xf>
    <xf numFmtId="173" fontId="1" fillId="0" borderId="0" xfId="0" applyNumberFormat="1" applyFont="1" applyBorder="1" applyAlignment="1">
      <alignment/>
    </xf>
    <xf numFmtId="173" fontId="1" fillId="0" borderId="58" xfId="15" applyNumberFormat="1" applyFont="1" applyBorder="1" applyAlignment="1">
      <alignment/>
    </xf>
    <xf numFmtId="173" fontId="1" fillId="0" borderId="49" xfId="15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1" fillId="0" borderId="33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34" xfId="19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 horizontal="right"/>
    </xf>
    <xf numFmtId="173" fontId="1" fillId="0" borderId="8" xfId="0" applyNumberFormat="1" applyFont="1" applyBorder="1" applyAlignment="1">
      <alignment/>
    </xf>
    <xf numFmtId="173" fontId="5" fillId="0" borderId="33" xfId="15" applyNumberFormat="1" applyFont="1" applyBorder="1" applyAlignment="1">
      <alignment/>
    </xf>
    <xf numFmtId="173" fontId="5" fillId="0" borderId="8" xfId="15" applyNumberFormat="1" applyFont="1" applyBorder="1" applyAlignment="1">
      <alignment horizontal="right"/>
    </xf>
    <xf numFmtId="173" fontId="5" fillId="0" borderId="7" xfId="15" applyNumberFormat="1" applyFont="1" applyBorder="1" applyAlignment="1">
      <alignment/>
    </xf>
    <xf numFmtId="173" fontId="1" fillId="0" borderId="49" xfId="0" applyNumberFormat="1" applyFont="1" applyBorder="1" applyAlignment="1">
      <alignment/>
    </xf>
    <xf numFmtId="173" fontId="1" fillId="0" borderId="7" xfId="0" applyNumberFormat="1" applyFont="1" applyBorder="1" applyAlignment="1">
      <alignment horizontal="right"/>
    </xf>
    <xf numFmtId="173" fontId="1" fillId="0" borderId="7" xfId="15" applyNumberFormat="1" applyFont="1" applyBorder="1" applyAlignment="1">
      <alignment horizontal="right"/>
    </xf>
    <xf numFmtId="173" fontId="1" fillId="0" borderId="49" xfId="15" applyNumberFormat="1" applyFont="1" applyBorder="1" applyAlignment="1">
      <alignment horizontal="right"/>
    </xf>
    <xf numFmtId="173" fontId="1" fillId="0" borderId="33" xfId="0" applyNumberFormat="1" applyFont="1" applyBorder="1" applyAlignment="1">
      <alignment horizontal="right"/>
    </xf>
    <xf numFmtId="173" fontId="7" fillId="0" borderId="33" xfId="15" applyNumberFormat="1" applyFont="1" applyBorder="1" applyAlignment="1">
      <alignment/>
    </xf>
    <xf numFmtId="173" fontId="7" fillId="0" borderId="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7" fillId="0" borderId="19" xfId="15" applyNumberFormat="1" applyFont="1" applyBorder="1" applyAlignment="1">
      <alignment/>
    </xf>
    <xf numFmtId="173" fontId="7" fillId="0" borderId="7" xfId="15" applyNumberFormat="1" applyFont="1" applyBorder="1" applyAlignment="1">
      <alignment/>
    </xf>
    <xf numFmtId="173" fontId="7" fillId="0" borderId="35" xfId="15" applyNumberFormat="1" applyFont="1" applyBorder="1" applyAlignment="1">
      <alignment/>
    </xf>
    <xf numFmtId="173" fontId="1" fillId="0" borderId="40" xfId="0" applyNumberFormat="1" applyFont="1" applyBorder="1" applyAlignment="1">
      <alignment/>
    </xf>
    <xf numFmtId="173" fontId="1" fillId="0" borderId="40" xfId="15" applyNumberFormat="1" applyFont="1" applyBorder="1" applyAlignment="1">
      <alignment/>
    </xf>
    <xf numFmtId="173" fontId="1" fillId="0" borderId="42" xfId="15" applyNumberFormat="1" applyFont="1" applyBorder="1" applyAlignment="1">
      <alignment/>
    </xf>
    <xf numFmtId="9" fontId="1" fillId="0" borderId="59" xfId="19" applyNumberFormat="1" applyFont="1" applyBorder="1" applyAlignment="1">
      <alignment/>
    </xf>
    <xf numFmtId="9" fontId="1" fillId="0" borderId="34" xfId="19" applyNumberFormat="1" applyFont="1" applyBorder="1" applyAlignment="1">
      <alignment/>
    </xf>
    <xf numFmtId="9" fontId="1" fillId="0" borderId="34" xfId="0" applyNumberFormat="1" applyFont="1" applyBorder="1" applyAlignment="1">
      <alignment/>
    </xf>
    <xf numFmtId="9" fontId="1" fillId="0" borderId="34" xfId="0" applyNumberFormat="1" applyFont="1" applyBorder="1" applyAlignment="1" quotePrefix="1">
      <alignment/>
    </xf>
    <xf numFmtId="164" fontId="1" fillId="6" borderId="7" xfId="15" applyNumberFormat="1" applyFont="1" applyFill="1" applyBorder="1" applyAlignment="1">
      <alignment/>
    </xf>
    <xf numFmtId="164" fontId="1" fillId="6" borderId="7" xfId="15" applyNumberFormat="1" applyFont="1" applyFill="1" applyBorder="1" applyAlignment="1">
      <alignment horizontal="right"/>
    </xf>
    <xf numFmtId="0" fontId="1" fillId="0" borderId="0" xfId="0" applyFont="1" applyAlignment="1" quotePrefix="1">
      <alignment/>
    </xf>
    <xf numFmtId="164" fontId="1" fillId="0" borderId="0" xfId="15" applyNumberFormat="1" applyFont="1" applyAlignment="1">
      <alignment/>
    </xf>
    <xf numFmtId="164" fontId="1" fillId="0" borderId="10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1" fillId="0" borderId="13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38" fontId="24" fillId="0" borderId="9" xfId="15" applyNumberFormat="1" applyFont="1" applyFill="1" applyBorder="1" applyAlignment="1">
      <alignment/>
    </xf>
    <xf numFmtId="164" fontId="28" fillId="0" borderId="7" xfId="15" applyNumberFormat="1" applyFont="1" applyBorder="1" applyAlignment="1">
      <alignment/>
    </xf>
    <xf numFmtId="164" fontId="1" fillId="0" borderId="60" xfId="15" applyNumberFormat="1" applyFont="1" applyBorder="1" applyAlignment="1">
      <alignment/>
    </xf>
    <xf numFmtId="164" fontId="1" fillId="0" borderId="6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4" borderId="62" xfId="0" applyNumberFormat="1" applyFont="1" applyFill="1" applyBorder="1" applyAlignment="1">
      <alignment/>
    </xf>
    <xf numFmtId="0" fontId="1" fillId="4" borderId="62" xfId="0" applyFont="1" applyFill="1" applyBorder="1" applyAlignment="1">
      <alignment/>
    </xf>
    <xf numFmtId="164" fontId="17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17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0" fontId="1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8" fontId="23" fillId="0" borderId="11" xfId="0" applyNumberFormat="1" applyFont="1" applyFill="1" applyBorder="1" applyAlignment="1">
      <alignment horizontal="center"/>
    </xf>
    <xf numFmtId="38" fontId="23" fillId="0" borderId="0" xfId="0" applyNumberFormat="1" applyFont="1" applyFill="1" applyBorder="1" applyAlignment="1">
      <alignment horizontal="left"/>
    </xf>
    <xf numFmtId="38" fontId="24" fillId="0" borderId="0" xfId="0" applyNumberFormat="1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5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BqtrSep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CBGrpBUDGET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CBqtrMa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notes-w"/>
      <sheetName val="contigent"/>
      <sheetName val="cpl-qtr1"/>
      <sheetName val="cpl-qtr2"/>
      <sheetName val="cpl-qtr3"/>
      <sheetName val="cpl-cumulative"/>
      <sheetName val="cpl-9m(b)"/>
      <sheetName val="var12m"/>
      <sheetName val="to &amp; pbt"/>
      <sheetName val="perform"/>
      <sheetName val="year-perf"/>
      <sheetName val="extra"/>
      <sheetName val="content"/>
      <sheetName val="cbs-sep2001"/>
      <sheetName val="cbs-MI"/>
      <sheetName val="review"/>
      <sheetName val="FASC"/>
      <sheetName val="cobs12.2000"/>
      <sheetName val="copl12.2000"/>
    </sheetNames>
    <sheetDataSet>
      <sheetData sheetId="7">
        <row r="10">
          <cell r="F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l -  new 2001"/>
      <sheetName val="cpl - new 2000"/>
      <sheetName val="grp.pl - new"/>
      <sheetName val="co.pl - new summary"/>
      <sheetName val="cpl - klse 2001"/>
      <sheetName val="cpl - klse 2000"/>
      <sheetName val="grp.pl - klse summary"/>
      <sheetName val="co.pl - klse summary"/>
      <sheetName val="cbs-proforma"/>
      <sheetName val="cbs-co."/>
      <sheetName val="cbs 2001"/>
      <sheetName val="cbs 2000"/>
      <sheetName val="consol cashflow"/>
      <sheetName val="capex - co"/>
    </sheetNames>
    <sheetDataSet>
      <sheetData sheetId="5">
        <row r="10">
          <cell r="O10">
            <v>0</v>
          </cell>
        </row>
        <row r="38">
          <cell r="O38">
            <v>0</v>
          </cell>
        </row>
      </sheetData>
      <sheetData sheetId="7">
        <row r="8">
          <cell r="B8">
            <v>2228</v>
          </cell>
        </row>
        <row r="10">
          <cell r="B10">
            <v>0</v>
          </cell>
        </row>
        <row r="12">
          <cell r="B12">
            <v>414</v>
          </cell>
        </row>
        <row r="14">
          <cell r="B14">
            <v>1663</v>
          </cell>
        </row>
        <row r="16">
          <cell r="B16">
            <v>478</v>
          </cell>
        </row>
        <row r="18">
          <cell r="B18">
            <v>170</v>
          </cell>
        </row>
        <row r="20">
          <cell r="B20">
            <v>0</v>
          </cell>
        </row>
        <row r="22">
          <cell r="B22">
            <v>1015</v>
          </cell>
        </row>
        <row r="24">
          <cell r="B24">
            <v>0</v>
          </cell>
        </row>
        <row r="26">
          <cell r="B26">
            <v>1015</v>
          </cell>
        </row>
        <row r="28">
          <cell r="B28">
            <v>285.20000000000005</v>
          </cell>
        </row>
        <row r="31">
          <cell r="B31">
            <v>729.8</v>
          </cell>
        </row>
        <row r="33">
          <cell r="B33">
            <v>0</v>
          </cell>
        </row>
        <row r="38">
          <cell r="B3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Appendix A"/>
      <sheetName val="notes-w"/>
      <sheetName val="cpl-qtr1"/>
      <sheetName val="cbs-mar2002"/>
      <sheetName val="cbs-MI"/>
    </sheetNames>
    <sheetDataSet>
      <sheetData sheetId="4">
        <row r="14">
          <cell r="L14">
            <v>0</v>
          </cell>
        </row>
        <row r="15">
          <cell r="L15">
            <v>0</v>
          </cell>
        </row>
        <row r="23">
          <cell r="L23">
            <v>0</v>
          </cell>
        </row>
        <row r="24">
          <cell r="L24">
            <v>0</v>
          </cell>
        </row>
      </sheetData>
      <sheetData sheetId="6">
        <row r="20">
          <cell r="N20">
            <v>336401</v>
          </cell>
        </row>
        <row r="37">
          <cell r="N37">
            <v>4648</v>
          </cell>
        </row>
        <row r="39">
          <cell r="N39">
            <v>2725</v>
          </cell>
        </row>
        <row r="41">
          <cell r="N41">
            <v>182866</v>
          </cell>
        </row>
        <row r="44">
          <cell r="N44">
            <v>53508</v>
          </cell>
        </row>
        <row r="45">
          <cell r="N45">
            <v>31928</v>
          </cell>
        </row>
        <row r="47">
          <cell r="N47">
            <v>41</v>
          </cell>
        </row>
        <row r="51">
          <cell r="N51">
            <v>2467</v>
          </cell>
        </row>
        <row r="53">
          <cell r="G53">
            <v>76134</v>
          </cell>
        </row>
        <row r="73">
          <cell r="F73">
            <v>46957</v>
          </cell>
        </row>
      </sheetData>
      <sheetData sheetId="7">
        <row r="5">
          <cell r="G5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workbookViewId="0" topLeftCell="A1">
      <selection activeCell="F20" sqref="F20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  <col min="11" max="11" width="2.28125" style="0" customWidth="1"/>
  </cols>
  <sheetData>
    <row r="1" spans="1:9" ht="15">
      <c r="A1" s="3" t="s">
        <v>1062</v>
      </c>
      <c r="B1" s="1"/>
      <c r="C1" s="1"/>
      <c r="D1" s="1"/>
      <c r="E1" s="1"/>
      <c r="F1" s="1"/>
      <c r="G1" s="4"/>
      <c r="I1" s="213"/>
    </row>
    <row r="2" spans="1:7" ht="12.75">
      <c r="A2" s="1" t="s">
        <v>1064</v>
      </c>
      <c r="B2" s="1"/>
      <c r="C2" s="1"/>
      <c r="D2" s="1"/>
      <c r="E2" s="1"/>
      <c r="F2" s="1"/>
      <c r="G2" s="20"/>
    </row>
    <row r="3" spans="1:10" ht="12.75">
      <c r="A3" s="1" t="s">
        <v>1065</v>
      </c>
      <c r="B3" s="1"/>
      <c r="C3" s="1"/>
      <c r="D3" s="1"/>
      <c r="E3" s="1"/>
      <c r="F3" s="1"/>
      <c r="G3" s="1"/>
      <c r="J3" s="13"/>
    </row>
    <row r="4" spans="1:7" ht="12.75">
      <c r="A4" s="1"/>
      <c r="B4" s="1"/>
      <c r="C4" s="1"/>
      <c r="D4" s="1"/>
      <c r="E4" s="1"/>
      <c r="F4" s="1"/>
      <c r="G4" s="1"/>
    </row>
    <row r="5" ht="12.75">
      <c r="A5" s="18" t="s">
        <v>54</v>
      </c>
    </row>
    <row r="6" spans="1:12" ht="12.75">
      <c r="A6" s="18"/>
      <c r="F6" s="599"/>
      <c r="G6" s="599"/>
      <c r="H6" s="599"/>
      <c r="J6" s="599"/>
      <c r="K6" s="599"/>
      <c r="L6" s="599"/>
    </row>
    <row r="7" spans="6:12" ht="12.75">
      <c r="F7" s="7" t="s">
        <v>55</v>
      </c>
      <c r="G7" s="5"/>
      <c r="H7" s="7" t="s">
        <v>55</v>
      </c>
      <c r="I7" s="1"/>
      <c r="J7" s="8"/>
      <c r="L7" s="8"/>
    </row>
    <row r="8" spans="6:12" ht="12.75">
      <c r="F8" s="7" t="s">
        <v>56</v>
      </c>
      <c r="G8" s="5"/>
      <c r="H8" s="7" t="s">
        <v>49</v>
      </c>
      <c r="I8" s="1"/>
      <c r="J8" s="8"/>
      <c r="L8" s="8"/>
    </row>
    <row r="9" spans="6:12" ht="12.75">
      <c r="F9" s="7" t="s">
        <v>46</v>
      </c>
      <c r="G9" s="5"/>
      <c r="H9" s="7" t="s">
        <v>57</v>
      </c>
      <c r="I9" s="1"/>
      <c r="J9" s="8"/>
      <c r="L9" s="8"/>
    </row>
    <row r="10" spans="6:12" ht="12.75">
      <c r="F10" s="7" t="s">
        <v>48</v>
      </c>
      <c r="G10" s="5"/>
      <c r="H10" s="7" t="s">
        <v>58</v>
      </c>
      <c r="I10" s="1"/>
      <c r="J10" s="8"/>
      <c r="L10" s="8"/>
    </row>
    <row r="11" spans="6:12" ht="12.75">
      <c r="F11" s="16" t="s">
        <v>932</v>
      </c>
      <c r="G11" s="5"/>
      <c r="H11" s="16" t="s">
        <v>1063</v>
      </c>
      <c r="I11" s="1"/>
      <c r="J11" s="19"/>
      <c r="L11" s="19"/>
    </row>
    <row r="12" spans="6:12" ht="12.75">
      <c r="F12" s="7" t="s">
        <v>59</v>
      </c>
      <c r="G12" s="5"/>
      <c r="H12" s="7" t="s">
        <v>59</v>
      </c>
      <c r="I12" s="1"/>
      <c r="J12" s="8"/>
      <c r="L12" s="8"/>
    </row>
    <row r="13" spans="6:12" ht="12.75">
      <c r="F13" s="7"/>
      <c r="G13" s="5"/>
      <c r="H13" s="7"/>
      <c r="I13" s="1"/>
      <c r="J13" s="8"/>
      <c r="L13" s="8"/>
    </row>
    <row r="14" spans="1:12" ht="12.75">
      <c r="A14" s="1" t="s">
        <v>920</v>
      </c>
      <c r="B14" s="1"/>
      <c r="C14" s="1"/>
      <c r="D14" s="1"/>
      <c r="E14" s="1"/>
      <c r="F14" s="11">
        <f>'cbs(w)'!N41</f>
        <v>111028</v>
      </c>
      <c r="G14" s="11"/>
      <c r="H14" s="11">
        <v>106313</v>
      </c>
      <c r="I14" s="495"/>
      <c r="J14" s="8"/>
      <c r="L14" s="8"/>
    </row>
    <row r="15" spans="1:12" ht="12.75">
      <c r="A15" s="1" t="s">
        <v>508</v>
      </c>
      <c r="B15" s="1"/>
      <c r="C15" s="1"/>
      <c r="D15" s="1"/>
      <c r="E15" s="1"/>
      <c r="F15" s="11">
        <f>'cbs(w)'!N39</f>
        <v>2698</v>
      </c>
      <c r="G15" s="11"/>
      <c r="H15" s="11">
        <v>2783</v>
      </c>
      <c r="I15" s="1"/>
      <c r="J15" s="8"/>
      <c r="L15" s="8"/>
    </row>
    <row r="16" spans="1:12" ht="12.75">
      <c r="A16" s="1" t="s">
        <v>509</v>
      </c>
      <c r="B16" s="1"/>
      <c r="C16" s="1"/>
      <c r="D16" s="1"/>
      <c r="E16" s="1"/>
      <c r="F16" s="11">
        <f>'cbs(w)'!N44</f>
        <v>131716</v>
      </c>
      <c r="G16" s="11"/>
      <c r="H16" s="11">
        <v>131677</v>
      </c>
      <c r="I16" s="1"/>
      <c r="J16" s="496"/>
      <c r="L16" s="8"/>
    </row>
    <row r="17" spans="1:12" ht="12.75">
      <c r="A17" s="1" t="s">
        <v>922</v>
      </c>
      <c r="B17" s="1"/>
      <c r="C17" s="1"/>
      <c r="D17" s="1"/>
      <c r="E17" s="1"/>
      <c r="F17" s="11">
        <f>'cbs(w)'!N45</f>
        <v>31386</v>
      </c>
      <c r="G17" s="11"/>
      <c r="H17" s="11">
        <v>32470</v>
      </c>
      <c r="I17" s="1"/>
      <c r="J17" s="8"/>
      <c r="L17" s="8"/>
    </row>
    <row r="18" spans="1:12" ht="12.75">
      <c r="A18" s="1" t="s">
        <v>907</v>
      </c>
      <c r="B18" s="1"/>
      <c r="C18" s="1"/>
      <c r="D18" s="1"/>
      <c r="E18" s="1"/>
      <c r="F18" s="11">
        <f>'cbs(w)'!N47</f>
        <v>39</v>
      </c>
      <c r="G18" s="11"/>
      <c r="H18" s="11">
        <v>41</v>
      </c>
      <c r="I18" s="1"/>
      <c r="J18" s="8"/>
      <c r="L18" s="8"/>
    </row>
    <row r="19" spans="1:12" ht="12.75">
      <c r="A19" s="1" t="s">
        <v>908</v>
      </c>
      <c r="B19" s="20"/>
      <c r="C19" s="1"/>
      <c r="D19" s="1"/>
      <c r="E19" s="1"/>
      <c r="F19" s="11">
        <f>'cbs(w)'!N51</f>
        <v>2576</v>
      </c>
      <c r="H19" s="11">
        <v>3350</v>
      </c>
      <c r="I19" s="11"/>
      <c r="J19" s="8"/>
      <c r="L19" s="8"/>
    </row>
    <row r="20" spans="1:12" ht="12.75">
      <c r="A20" s="1" t="s">
        <v>921</v>
      </c>
      <c r="B20" s="20"/>
      <c r="C20" s="1"/>
      <c r="D20" s="1"/>
      <c r="E20" s="1"/>
      <c r="F20" s="11">
        <f>'cbs(w)'!N37</f>
        <v>4648</v>
      </c>
      <c r="H20" s="11">
        <v>4648</v>
      </c>
      <c r="I20" s="11"/>
      <c r="J20" s="496"/>
      <c r="L20" s="8"/>
    </row>
    <row r="21" spans="1:12" ht="12.75">
      <c r="A21" s="1" t="s">
        <v>1033</v>
      </c>
      <c r="B21" s="1"/>
      <c r="C21" s="1"/>
      <c r="D21" s="1"/>
      <c r="E21" s="1"/>
      <c r="F21" s="11"/>
      <c r="G21" s="11"/>
      <c r="H21" s="11"/>
      <c r="I21" s="1"/>
      <c r="J21" s="496"/>
      <c r="L21" s="8"/>
    </row>
    <row r="22" spans="1:12" ht="12.75">
      <c r="A22" s="1"/>
      <c r="B22" s="20" t="s">
        <v>515</v>
      </c>
      <c r="C22" s="1"/>
      <c r="D22" s="1"/>
      <c r="E22" s="1"/>
      <c r="F22" s="87">
        <f>'cbs(w)'!N8+'cbs(w)'!N9</f>
        <v>15151</v>
      </c>
      <c r="G22" s="11"/>
      <c r="H22" s="87">
        <v>13890</v>
      </c>
      <c r="I22" s="1"/>
      <c r="J22" s="8"/>
      <c r="L22" s="8"/>
    </row>
    <row r="23" spans="1:12" ht="12.75">
      <c r="A23" s="1"/>
      <c r="B23" s="20" t="s">
        <v>516</v>
      </c>
      <c r="C23" s="1"/>
      <c r="D23" s="1"/>
      <c r="E23" s="1"/>
      <c r="F23" s="51">
        <f>'cbs(w)'!N10</f>
        <v>106337</v>
      </c>
      <c r="G23" s="11"/>
      <c r="H23" s="51">
        <v>106980</v>
      </c>
      <c r="I23" s="1"/>
      <c r="J23" s="8"/>
      <c r="L23" s="8"/>
    </row>
    <row r="24" spans="1:12" ht="12.75">
      <c r="A24" s="1"/>
      <c r="B24" s="20" t="s">
        <v>517</v>
      </c>
      <c r="C24" s="1"/>
      <c r="D24" s="1"/>
      <c r="E24" s="1"/>
      <c r="F24" s="51">
        <f>'cbs(w)'!N12</f>
        <v>31637</v>
      </c>
      <c r="G24" s="11"/>
      <c r="H24" s="51">
        <f>133316-79922-22802</f>
        <v>30592</v>
      </c>
      <c r="I24" s="1"/>
      <c r="J24" s="8"/>
      <c r="L24" s="8"/>
    </row>
    <row r="25" spans="1:12" ht="12.75">
      <c r="A25" s="1"/>
      <c r="B25" s="20" t="s">
        <v>60</v>
      </c>
      <c r="C25" s="1"/>
      <c r="D25" s="1"/>
      <c r="E25" s="1"/>
      <c r="F25" s="51">
        <f>'cbs(w)'!N11</f>
        <v>20123</v>
      </c>
      <c r="G25" s="11"/>
      <c r="H25" s="51">
        <v>17901</v>
      </c>
      <c r="I25" s="1"/>
      <c r="J25" s="8"/>
      <c r="L25" s="8"/>
    </row>
    <row r="26" spans="1:12" ht="12.75">
      <c r="A26" s="1"/>
      <c r="B26" s="20" t="s">
        <v>518</v>
      </c>
      <c r="C26" s="1"/>
      <c r="D26" s="1"/>
      <c r="E26" s="1"/>
      <c r="F26" s="51">
        <f>'cbs(w)'!N17+'cbs(w)'!N18</f>
        <v>78545</v>
      </c>
      <c r="G26" s="11"/>
      <c r="H26" s="51">
        <v>68597</v>
      </c>
      <c r="I26" s="1"/>
      <c r="J26" s="8"/>
      <c r="L26" s="8"/>
    </row>
    <row r="27" spans="1:12" ht="12.75">
      <c r="A27" s="1"/>
      <c r="B27" s="20" t="s">
        <v>488</v>
      </c>
      <c r="C27" s="1"/>
      <c r="D27" s="1"/>
      <c r="E27" s="1"/>
      <c r="F27" s="51">
        <f>'cbs(w)'!N15</f>
        <v>80169</v>
      </c>
      <c r="G27" s="11"/>
      <c r="H27" s="51">
        <f>77678+2244</f>
        <v>79922</v>
      </c>
      <c r="I27" s="1"/>
      <c r="J27" s="8"/>
      <c r="L27" s="8"/>
    </row>
    <row r="28" spans="1:12" ht="12.75">
      <c r="A28" s="1"/>
      <c r="B28" s="20" t="s">
        <v>545</v>
      </c>
      <c r="C28" s="1"/>
      <c r="D28" s="1"/>
      <c r="E28" s="1"/>
      <c r="F28" s="51">
        <f>'cbs(w)'!N14</f>
        <v>22964</v>
      </c>
      <c r="G28" s="11"/>
      <c r="H28" s="51">
        <f>22802</f>
        <v>22802</v>
      </c>
      <c r="I28" s="1"/>
      <c r="J28" s="8"/>
      <c r="L28" s="8"/>
    </row>
    <row r="29" spans="1:12" ht="12.75">
      <c r="A29" s="1"/>
      <c r="B29" s="1"/>
      <c r="C29" s="1"/>
      <c r="D29" s="1"/>
      <c r="E29" s="1"/>
      <c r="F29" s="68">
        <f>SUM(F22:F28)</f>
        <v>354926</v>
      </c>
      <c r="G29" s="11"/>
      <c r="H29" s="68">
        <f>SUM(H22:H28)</f>
        <v>340684</v>
      </c>
      <c r="I29" s="1"/>
      <c r="J29" s="8"/>
      <c r="L29" s="8"/>
    </row>
    <row r="30" spans="6:12" ht="12.75">
      <c r="F30" s="47"/>
      <c r="G30" s="5"/>
      <c r="H30" s="47"/>
      <c r="I30" s="1"/>
      <c r="J30" s="8"/>
      <c r="L30" s="8"/>
    </row>
    <row r="31" spans="1:9" ht="12.75">
      <c r="A31" s="1" t="s">
        <v>1034</v>
      </c>
      <c r="B31" s="1"/>
      <c r="C31" s="1"/>
      <c r="D31" s="1"/>
      <c r="E31" s="1"/>
      <c r="F31" s="51"/>
      <c r="G31" s="11"/>
      <c r="H31" s="51"/>
      <c r="I31" s="1"/>
    </row>
    <row r="32" spans="1:13" ht="12.75">
      <c r="A32" s="1" t="s">
        <v>62</v>
      </c>
      <c r="B32" s="20" t="s">
        <v>63</v>
      </c>
      <c r="C32" s="1"/>
      <c r="D32" s="1"/>
      <c r="E32" s="1"/>
      <c r="F32" s="51">
        <f>'cbs(w)'!N23</f>
        <v>113885</v>
      </c>
      <c r="G32" s="11"/>
      <c r="H32" s="51">
        <v>107570</v>
      </c>
      <c r="I32" s="11"/>
      <c r="J32" s="11"/>
      <c r="K32" s="11"/>
      <c r="L32" s="11"/>
      <c r="M32" s="1"/>
    </row>
    <row r="33" spans="1:13" ht="12.75">
      <c r="A33" s="1"/>
      <c r="B33" s="20" t="s">
        <v>519</v>
      </c>
      <c r="C33" s="1"/>
      <c r="D33" s="1"/>
      <c r="E33" s="1"/>
      <c r="F33" s="51">
        <f>'cbs(w)'!N24</f>
        <v>18316</v>
      </c>
      <c r="G33" s="11"/>
      <c r="H33" s="51">
        <v>16596</v>
      </c>
      <c r="I33" s="11"/>
      <c r="J33" s="11"/>
      <c r="K33" s="11"/>
      <c r="L33" s="11"/>
      <c r="M33" s="1"/>
    </row>
    <row r="34" spans="1:13" ht="12.75">
      <c r="A34" s="1"/>
      <c r="B34" s="20" t="s">
        <v>520</v>
      </c>
      <c r="C34" s="1"/>
      <c r="D34" s="1"/>
      <c r="E34" s="1"/>
      <c r="F34" s="51">
        <f>'cbs(w)'!N25</f>
        <v>36725</v>
      </c>
      <c r="G34" s="11"/>
      <c r="H34" s="51">
        <v>32126</v>
      </c>
      <c r="I34" s="11"/>
      <c r="J34" s="11"/>
      <c r="K34" s="11"/>
      <c r="L34" s="11"/>
      <c r="M34" s="1"/>
    </row>
    <row r="35" spans="1:13" ht="12.75">
      <c r="A35" s="1"/>
      <c r="B35" s="20" t="s">
        <v>546</v>
      </c>
      <c r="C35" s="1"/>
      <c r="D35" s="1"/>
      <c r="E35" s="1"/>
      <c r="F35" s="51">
        <f>'cbs(w)'!N31</f>
        <v>161</v>
      </c>
      <c r="G35" s="11"/>
      <c r="H35" s="51">
        <v>315</v>
      </c>
      <c r="I35" s="11"/>
      <c r="J35" s="11"/>
      <c r="K35" s="11"/>
      <c r="L35" s="11"/>
      <c r="M35" s="1"/>
    </row>
    <row r="36" spans="1:13" ht="12.75">
      <c r="A36" s="1"/>
      <c r="B36" s="20" t="s">
        <v>547</v>
      </c>
      <c r="C36" s="1"/>
      <c r="D36" s="1"/>
      <c r="E36" s="1"/>
      <c r="F36" s="51">
        <f>'cbs(w)'!N29</f>
        <v>0</v>
      </c>
      <c r="G36" s="11"/>
      <c r="H36" s="51">
        <v>95</v>
      </c>
      <c r="I36" s="11"/>
      <c r="J36" s="11"/>
      <c r="K36" s="11"/>
      <c r="L36" s="11"/>
      <c r="M36" s="1"/>
    </row>
    <row r="37" spans="1:13" ht="12.75">
      <c r="A37" s="1"/>
      <c r="B37" s="20" t="s">
        <v>521</v>
      </c>
      <c r="C37" s="1"/>
      <c r="D37" s="1"/>
      <c r="E37" s="1"/>
      <c r="F37" s="51">
        <f>'cbs(w)'!N26</f>
        <v>5249</v>
      </c>
      <c r="G37" s="11"/>
      <c r="H37" s="51">
        <v>6394</v>
      </c>
      <c r="I37" s="11"/>
      <c r="J37" s="11"/>
      <c r="K37" s="11"/>
      <c r="L37" s="11"/>
      <c r="M37" s="1"/>
    </row>
    <row r="38" spans="1:13" ht="12.75">
      <c r="A38" s="1"/>
      <c r="B38" s="20" t="s">
        <v>168</v>
      </c>
      <c r="C38" s="1"/>
      <c r="D38" s="1"/>
      <c r="E38" s="1"/>
      <c r="F38" s="51">
        <f>'cbs(w)'!N27</f>
        <v>1057</v>
      </c>
      <c r="G38" s="11"/>
      <c r="H38" s="51">
        <v>0</v>
      </c>
      <c r="I38" s="11"/>
      <c r="J38" s="11"/>
      <c r="K38" s="11"/>
      <c r="L38" s="11"/>
      <c r="M38" s="1"/>
    </row>
    <row r="39" spans="1:13" ht="12.75">
      <c r="A39" s="1"/>
      <c r="B39" s="1"/>
      <c r="C39" s="1"/>
      <c r="D39" s="1"/>
      <c r="E39" s="1"/>
      <c r="F39" s="68">
        <f>SUM(F32:F38)</f>
        <v>175393</v>
      </c>
      <c r="G39" s="11"/>
      <c r="H39" s="68">
        <f>SUM(H32:H38)</f>
        <v>163096</v>
      </c>
      <c r="I39" s="11"/>
      <c r="J39" s="11"/>
      <c r="K39" s="11"/>
      <c r="L39" s="11"/>
      <c r="M39" s="1"/>
    </row>
    <row r="40" spans="1:13" ht="12.75">
      <c r="A40" s="1"/>
      <c r="B40" s="1"/>
      <c r="C40" s="1"/>
      <c r="D40" s="1"/>
      <c r="E40" s="1"/>
      <c r="F40" s="22"/>
      <c r="G40" s="11"/>
      <c r="H40" s="11"/>
      <c r="I40" s="11"/>
      <c r="J40" s="11"/>
      <c r="K40" s="11"/>
      <c r="L40" s="11"/>
      <c r="M40" s="1"/>
    </row>
    <row r="41" spans="1:13" ht="12.75">
      <c r="A41" s="1" t="s">
        <v>1035</v>
      </c>
      <c r="B41" s="1"/>
      <c r="C41" s="1"/>
      <c r="D41" s="1"/>
      <c r="E41" s="1"/>
      <c r="F41" s="11">
        <f>F29-F39</f>
        <v>179533</v>
      </c>
      <c r="G41" s="11"/>
      <c r="H41" s="11">
        <f>H29-H39</f>
        <v>177588</v>
      </c>
      <c r="I41" s="11"/>
      <c r="J41" s="11"/>
      <c r="K41" s="11"/>
      <c r="L41" s="11"/>
      <c r="M41" s="1"/>
    </row>
    <row r="42" spans="9:13" ht="12.75">
      <c r="I42" s="11"/>
      <c r="J42" s="11"/>
      <c r="K42" s="11"/>
      <c r="L42" s="11"/>
      <c r="M42" s="1"/>
    </row>
    <row r="43" spans="6:12" s="1" customFormat="1" ht="12" thickBot="1">
      <c r="F43" s="24">
        <f>SUM(F14:F21)+F41</f>
        <v>463624</v>
      </c>
      <c r="G43" s="32"/>
      <c r="H43" s="24">
        <f>SUM(H14:H21)+H41</f>
        <v>458870</v>
      </c>
      <c r="I43" s="11"/>
      <c r="J43" s="22"/>
      <c r="K43" s="22"/>
      <c r="L43" s="22"/>
    </row>
    <row r="44" spans="6:12" s="1" customFormat="1" ht="11.25">
      <c r="F44" s="32"/>
      <c r="G44" s="32"/>
      <c r="H44" s="32"/>
      <c r="I44" s="11"/>
      <c r="J44" s="22"/>
      <c r="K44" s="22"/>
      <c r="L44" s="22"/>
    </row>
    <row r="45" spans="1:13" ht="12.75">
      <c r="A45" s="1" t="s">
        <v>1036</v>
      </c>
      <c r="B45" s="1"/>
      <c r="C45" s="1"/>
      <c r="D45" s="1"/>
      <c r="E45" s="1"/>
      <c r="F45" s="11"/>
      <c r="G45" s="11"/>
      <c r="H45" s="11"/>
      <c r="I45" s="11"/>
      <c r="J45" s="22"/>
      <c r="K45" s="22"/>
      <c r="L45" s="22"/>
      <c r="M45" s="1"/>
    </row>
    <row r="46" spans="1:13" ht="12.75">
      <c r="A46" s="1" t="s">
        <v>523</v>
      </c>
      <c r="B46" s="1"/>
      <c r="C46" s="1"/>
      <c r="D46" s="1"/>
      <c r="E46" s="1"/>
      <c r="F46" s="11">
        <f>'cbs(w)'!N57</f>
        <v>70000</v>
      </c>
      <c r="G46" s="11"/>
      <c r="H46" s="11">
        <v>70000</v>
      </c>
      <c r="I46" s="11"/>
      <c r="J46" s="22"/>
      <c r="K46" s="22"/>
      <c r="L46" s="22"/>
      <c r="M46" s="1"/>
    </row>
    <row r="47" spans="1:13" ht="12.75">
      <c r="A47" s="1" t="s">
        <v>534</v>
      </c>
      <c r="B47" s="1"/>
      <c r="C47" s="1"/>
      <c r="D47" s="1"/>
      <c r="E47" s="1"/>
      <c r="F47" s="11"/>
      <c r="G47" s="11"/>
      <c r="H47" s="11"/>
      <c r="I47" s="11"/>
      <c r="J47" s="22"/>
      <c r="K47" s="22"/>
      <c r="L47" s="22"/>
      <c r="M47" s="1"/>
    </row>
    <row r="48" spans="1:13" ht="12.75">
      <c r="A48" s="1"/>
      <c r="B48" s="20" t="s">
        <v>493</v>
      </c>
      <c r="C48" s="1"/>
      <c r="D48" s="1"/>
      <c r="E48" s="1"/>
      <c r="F48" s="11">
        <f>'cbs(w)'!N59</f>
        <v>190497</v>
      </c>
      <c r="G48" s="11"/>
      <c r="H48" s="11">
        <v>190497</v>
      </c>
      <c r="I48" s="11"/>
      <c r="J48" s="22"/>
      <c r="K48" s="22"/>
      <c r="L48" s="22"/>
      <c r="M48" s="1"/>
    </row>
    <row r="49" spans="1:13" ht="12.75">
      <c r="A49" s="1"/>
      <c r="B49" s="20" t="s">
        <v>494</v>
      </c>
      <c r="C49" s="1"/>
      <c r="D49" s="1"/>
      <c r="E49" s="1"/>
      <c r="F49" s="65">
        <f>'cbs(w)'!N63</f>
        <v>59707</v>
      </c>
      <c r="G49" s="11"/>
      <c r="H49" s="65">
        <v>56388</v>
      </c>
      <c r="I49" s="11"/>
      <c r="J49" s="22"/>
      <c r="K49" s="22"/>
      <c r="L49" s="22"/>
      <c r="M49" s="1"/>
    </row>
    <row r="50" spans="1:13" ht="12.75">
      <c r="A50" s="1"/>
      <c r="B50" s="20"/>
      <c r="C50" s="1"/>
      <c r="D50" s="1"/>
      <c r="E50" s="1"/>
      <c r="F50" s="11">
        <f>SUM(F46:F49)</f>
        <v>320204</v>
      </c>
      <c r="G50" s="11"/>
      <c r="H50" s="11">
        <f>SUM(H46:H49)</f>
        <v>316885</v>
      </c>
      <c r="I50" s="11"/>
      <c r="J50" s="22"/>
      <c r="K50" s="22"/>
      <c r="L50" s="22"/>
      <c r="M50" s="1"/>
    </row>
    <row r="51" spans="1:13" ht="12.75">
      <c r="A51" s="1"/>
      <c r="B51" s="20"/>
      <c r="C51" s="1"/>
      <c r="D51" s="1"/>
      <c r="E51" s="1"/>
      <c r="F51" s="11"/>
      <c r="G51" s="11"/>
      <c r="H51" s="11"/>
      <c r="I51" s="11"/>
      <c r="J51" s="22"/>
      <c r="K51" s="22"/>
      <c r="L51" s="22"/>
      <c r="M51" s="1"/>
    </row>
    <row r="52" spans="1:13" ht="12.75">
      <c r="A52" s="62" t="s">
        <v>1037</v>
      </c>
      <c r="B52" s="20"/>
      <c r="C52" s="1"/>
      <c r="D52" s="1"/>
      <c r="E52" s="1"/>
      <c r="F52" s="11">
        <f>'cbs(w)'!N62</f>
        <v>905</v>
      </c>
      <c r="G52" s="11"/>
      <c r="H52" s="11">
        <v>934</v>
      </c>
      <c r="I52" s="11"/>
      <c r="J52" s="22"/>
      <c r="K52" s="22"/>
      <c r="L52" s="22"/>
      <c r="M52" s="1"/>
    </row>
    <row r="53" spans="1:13" ht="12.75">
      <c r="A53" s="1"/>
      <c r="B53" s="20"/>
      <c r="C53" s="1"/>
      <c r="D53" s="1"/>
      <c r="E53" s="1"/>
      <c r="F53" s="11"/>
      <c r="G53" s="11"/>
      <c r="H53" s="11"/>
      <c r="I53" s="11"/>
      <c r="J53" s="22"/>
      <c r="K53" s="22"/>
      <c r="L53" s="22"/>
      <c r="M53" s="1"/>
    </row>
    <row r="54" spans="1:13" ht="12.75">
      <c r="A54" s="1" t="s">
        <v>1038</v>
      </c>
      <c r="B54" s="1"/>
      <c r="C54" s="1"/>
      <c r="D54" s="1"/>
      <c r="E54" s="1"/>
      <c r="F54" s="11">
        <f>-'cbs(w)'!N50</f>
        <v>132218</v>
      </c>
      <c r="G54" s="11"/>
      <c r="H54" s="11">
        <v>130591</v>
      </c>
      <c r="I54" s="11"/>
      <c r="J54" s="22"/>
      <c r="K54" s="22"/>
      <c r="L54" s="22"/>
      <c r="M54" s="1"/>
    </row>
    <row r="55" spans="1:13" ht="12.75">
      <c r="A55" s="1"/>
      <c r="B55" s="1"/>
      <c r="C55" s="1"/>
      <c r="D55" s="1"/>
      <c r="E55" s="1"/>
      <c r="F55" s="11"/>
      <c r="G55" s="11"/>
      <c r="H55" s="11"/>
      <c r="I55" s="11"/>
      <c r="J55" s="22"/>
      <c r="K55" s="22"/>
      <c r="L55" s="22"/>
      <c r="M55" s="1"/>
    </row>
    <row r="56" spans="1:13" ht="12.75">
      <c r="A56" s="1" t="s">
        <v>1039</v>
      </c>
      <c r="B56" s="1"/>
      <c r="C56" s="1"/>
      <c r="D56" s="1"/>
      <c r="E56" s="1"/>
      <c r="F56" s="11">
        <f>-'cbs(w)'!N46</f>
        <v>5541</v>
      </c>
      <c r="G56" s="11"/>
      <c r="H56" s="11">
        <v>5692</v>
      </c>
      <c r="I56" s="11"/>
      <c r="J56" s="22"/>
      <c r="K56" s="22"/>
      <c r="L56" s="22"/>
      <c r="M56" s="1"/>
    </row>
    <row r="57" spans="1:13" ht="12.75">
      <c r="A57" s="1"/>
      <c r="B57" s="1"/>
      <c r="C57" s="1"/>
      <c r="D57" s="1"/>
      <c r="E57" s="1"/>
      <c r="F57" s="11"/>
      <c r="G57" s="11"/>
      <c r="H57" s="11"/>
      <c r="I57" s="11"/>
      <c r="J57" s="22"/>
      <c r="K57" s="22"/>
      <c r="L57" s="22"/>
      <c r="M57" s="1"/>
    </row>
    <row r="58" spans="1:13" ht="12.75">
      <c r="A58" s="1" t="s">
        <v>1040</v>
      </c>
      <c r="B58" s="1"/>
      <c r="C58" s="1"/>
      <c r="D58" s="1"/>
      <c r="E58" s="1"/>
      <c r="F58" s="11">
        <f>-'cbs(w)'!N52-'cbs(w)'!N48</f>
        <v>1062</v>
      </c>
      <c r="G58" s="11"/>
      <c r="H58" s="11">
        <f>220+854</f>
        <v>1074</v>
      </c>
      <c r="I58" s="11"/>
      <c r="J58" s="22"/>
      <c r="K58" s="22"/>
      <c r="L58" s="22"/>
      <c r="M58" s="1"/>
    </row>
    <row r="59" spans="1:13" ht="12.75">
      <c r="A59" s="1"/>
      <c r="B59" s="1"/>
      <c r="C59" s="1"/>
      <c r="D59" s="1"/>
      <c r="E59" s="1"/>
      <c r="F59" s="11"/>
      <c r="G59" s="11"/>
      <c r="H59" s="11"/>
      <c r="I59" s="11"/>
      <c r="J59" s="22"/>
      <c r="K59" s="22"/>
      <c r="L59" s="22"/>
      <c r="M59" s="1"/>
    </row>
    <row r="60" spans="1:13" ht="12.75">
      <c r="A60" s="1" t="s">
        <v>195</v>
      </c>
      <c r="B60" s="1"/>
      <c r="C60" s="1"/>
      <c r="D60" s="1"/>
      <c r="E60" s="1"/>
      <c r="F60" s="11">
        <f>-'cbs(w)'!N42</f>
        <v>3694</v>
      </c>
      <c r="G60" s="11"/>
      <c r="H60" s="11">
        <v>3694</v>
      </c>
      <c r="I60" s="11"/>
      <c r="J60" s="22"/>
      <c r="K60" s="22"/>
      <c r="L60" s="22"/>
      <c r="M60" s="1"/>
    </row>
    <row r="61" spans="1:13" ht="12.75">
      <c r="A61" s="1"/>
      <c r="B61" s="20"/>
      <c r="C61" s="1"/>
      <c r="D61" s="1"/>
      <c r="E61" s="1"/>
      <c r="F61" s="11"/>
      <c r="G61" s="11"/>
      <c r="H61" s="11"/>
      <c r="I61" s="11"/>
      <c r="J61" s="22"/>
      <c r="K61" s="22"/>
      <c r="L61" s="22"/>
      <c r="M61" s="1"/>
    </row>
    <row r="62" spans="1:13" ht="13.5" thickBot="1">
      <c r="A62" s="1"/>
      <c r="B62" s="20"/>
      <c r="C62" s="502"/>
      <c r="D62" s="1"/>
      <c r="E62" s="503"/>
      <c r="F62" s="25">
        <f>SUM(F50:F60)</f>
        <v>463624</v>
      </c>
      <c r="G62" s="11"/>
      <c r="H62" s="25">
        <f>SUM(H50:H60)</f>
        <v>458870</v>
      </c>
      <c r="I62" s="495"/>
      <c r="J62" s="22"/>
      <c r="K62" s="22"/>
      <c r="L62" s="22"/>
      <c r="M62" s="1"/>
    </row>
    <row r="63" spans="1:13" ht="12.75">
      <c r="A63" s="1"/>
      <c r="B63" s="20"/>
      <c r="C63" s="1"/>
      <c r="D63" s="1"/>
      <c r="E63" s="1"/>
      <c r="F63" s="11"/>
      <c r="G63" s="11"/>
      <c r="H63" s="11"/>
      <c r="I63" s="11"/>
      <c r="J63" s="22"/>
      <c r="K63" s="22"/>
      <c r="L63" s="22"/>
      <c r="M63" s="1"/>
    </row>
    <row r="64" spans="1:13" ht="12.75">
      <c r="A64" s="1" t="s">
        <v>205</v>
      </c>
      <c r="B64" s="1"/>
      <c r="C64" s="1"/>
      <c r="D64" s="1"/>
      <c r="E64" s="1"/>
      <c r="F64" s="11">
        <f>(F50-F17)/F46*100</f>
        <v>412.5971428571429</v>
      </c>
      <c r="G64" s="11"/>
      <c r="H64" s="11">
        <f>(H50-H17)/H46*100</f>
        <v>406.3071428571429</v>
      </c>
      <c r="I64" s="11"/>
      <c r="J64" s="22"/>
      <c r="K64" s="22"/>
      <c r="L64" s="22"/>
      <c r="M64" s="1"/>
    </row>
    <row r="65" spans="1:13" ht="12.75">
      <c r="A65" s="1"/>
      <c r="B65" s="1"/>
      <c r="C65" s="1"/>
      <c r="D65" s="1"/>
      <c r="E65" s="1"/>
      <c r="F65" s="11"/>
      <c r="G65" s="11"/>
      <c r="H65" s="11"/>
      <c r="I65" s="11"/>
      <c r="J65" s="22"/>
      <c r="K65" s="22"/>
      <c r="L65" s="22"/>
      <c r="M65" s="1"/>
    </row>
    <row r="66" spans="1:13" ht="12.75">
      <c r="A66" s="1"/>
      <c r="B66" s="1"/>
      <c r="C66" s="1"/>
      <c r="D66" s="1"/>
      <c r="E66" s="1"/>
      <c r="F66" s="11"/>
      <c r="G66" s="11"/>
      <c r="H66" s="11"/>
      <c r="I66" s="11"/>
      <c r="J66" s="22"/>
      <c r="K66" s="22"/>
      <c r="L66" s="22"/>
      <c r="M66" s="1"/>
    </row>
    <row r="67" spans="1:13" ht="12.75">
      <c r="A67" s="1"/>
      <c r="B67" s="1"/>
      <c r="C67" s="1"/>
      <c r="D67" s="1"/>
      <c r="E67" s="1"/>
      <c r="F67" s="11"/>
      <c r="G67" s="11"/>
      <c r="H67" s="11"/>
      <c r="I67" s="11"/>
      <c r="J67" s="22"/>
      <c r="K67" s="22"/>
      <c r="L67" s="22"/>
      <c r="M67" s="1"/>
    </row>
    <row r="68" spans="1:13" ht="12.75">
      <c r="A68" s="1"/>
      <c r="B68" s="1"/>
      <c r="C68" s="1"/>
      <c r="D68" s="1"/>
      <c r="E68" s="1"/>
      <c r="F68" s="11"/>
      <c r="G68" s="11"/>
      <c r="H68" s="11"/>
      <c r="I68" s="11"/>
      <c r="J68" s="22"/>
      <c r="K68" s="22"/>
      <c r="L68" s="22"/>
      <c r="M68" s="1"/>
    </row>
    <row r="69" spans="1:13" ht="12.75">
      <c r="A69" s="1"/>
      <c r="B69" s="1"/>
      <c r="C69" s="1"/>
      <c r="D69" s="1"/>
      <c r="E69" s="1"/>
      <c r="F69" s="11"/>
      <c r="G69" s="11"/>
      <c r="H69" s="11"/>
      <c r="I69" s="11"/>
      <c r="J69" s="22"/>
      <c r="K69" s="22"/>
      <c r="L69" s="22"/>
      <c r="M69" s="1"/>
    </row>
    <row r="70" spans="1:13" ht="12.75">
      <c r="A70" s="1"/>
      <c r="B70" s="1"/>
      <c r="C70" s="1"/>
      <c r="D70" s="1"/>
      <c r="E70" s="1"/>
      <c r="F70" s="11"/>
      <c r="G70" s="11"/>
      <c r="H70" s="11"/>
      <c r="I70" s="11"/>
      <c r="J70" s="22"/>
      <c r="K70" s="22"/>
      <c r="L70" s="22"/>
      <c r="M70" s="1"/>
    </row>
    <row r="71" spans="1:13" ht="12.75">
      <c r="A71" s="1"/>
      <c r="B71" s="1"/>
      <c r="C71" s="1"/>
      <c r="D71" s="1"/>
      <c r="E71" s="1"/>
      <c r="F71" s="11"/>
      <c r="G71" s="11"/>
      <c r="H71" s="11"/>
      <c r="I71" s="11"/>
      <c r="J71" s="22"/>
      <c r="K71" s="22"/>
      <c r="L71" s="22"/>
      <c r="M71" s="1"/>
    </row>
    <row r="72" spans="1:13" ht="12.75">
      <c r="A72" s="1"/>
      <c r="B72" s="1"/>
      <c r="C72" s="1"/>
      <c r="D72" s="1"/>
      <c r="E72" s="1"/>
      <c r="F72" s="11"/>
      <c r="G72" s="11"/>
      <c r="H72" s="11"/>
      <c r="I72" s="11"/>
      <c r="J72" s="22"/>
      <c r="K72" s="22"/>
      <c r="L72" s="22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23"/>
      <c r="K73" s="23"/>
      <c r="L73" s="23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23"/>
      <c r="K74" s="23"/>
      <c r="L74" s="23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23"/>
      <c r="K75" s="23"/>
      <c r="L75" s="23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</sheetData>
  <mergeCells count="2">
    <mergeCell ref="F6:H6"/>
    <mergeCell ref="J6:L6"/>
  </mergeCells>
  <printOptions horizontalCentered="1"/>
  <pageMargins left="0.75" right="0.75" top="0.25" bottom="0.2" header="0.25" footer="0.2"/>
  <pageSetup horizontalDpi="360" verticalDpi="36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">
      <pane xSplit="10500" topLeftCell="L1" activePane="topLeft" state="split"/>
      <selection pane="topLeft" activeCell="E9" sqref="E9"/>
      <selection pane="topRight" activeCell="L1" sqref="L1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2" ht="15">
      <c r="A1" s="3" t="s">
        <v>1062</v>
      </c>
      <c r="B1" s="1"/>
      <c r="C1" s="1"/>
      <c r="D1" s="1"/>
      <c r="E1" s="1"/>
      <c r="F1" s="1"/>
      <c r="G1" s="1"/>
      <c r="H1" s="1"/>
      <c r="I1" s="4"/>
      <c r="J1" s="4"/>
      <c r="K1" s="213"/>
      <c r="L1" s="1"/>
    </row>
    <row r="2" spans="1:12" ht="12.75">
      <c r="A2" s="1" t="s">
        <v>1064</v>
      </c>
      <c r="B2" s="1"/>
      <c r="C2" s="1"/>
      <c r="D2" s="1"/>
      <c r="E2" s="1"/>
      <c r="F2" s="1"/>
      <c r="G2" s="20"/>
      <c r="H2" s="1"/>
      <c r="J2" s="1"/>
      <c r="K2" s="1"/>
      <c r="L2" s="1"/>
    </row>
    <row r="3" spans="1:12" ht="12.75">
      <c r="A3" s="1" t="s">
        <v>1065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5" t="s">
        <v>933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5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5" t="s">
        <v>1066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5"/>
      <c r="B10" s="5"/>
      <c r="C10" s="5"/>
      <c r="D10" s="5"/>
      <c r="E10" s="600" t="s">
        <v>44</v>
      </c>
      <c r="F10" s="600"/>
      <c r="G10" s="600"/>
      <c r="H10" s="7"/>
      <c r="I10" s="600" t="s">
        <v>45</v>
      </c>
      <c r="J10" s="600"/>
      <c r="K10" s="600"/>
      <c r="L10" s="7"/>
    </row>
    <row r="11" spans="1:12" ht="12.75">
      <c r="A11" s="5"/>
      <c r="B11" s="5"/>
      <c r="C11" s="5"/>
      <c r="D11" s="5"/>
      <c r="E11" s="7" t="s">
        <v>46</v>
      </c>
      <c r="F11" s="7"/>
      <c r="G11" s="7" t="s">
        <v>52</v>
      </c>
      <c r="H11" s="7"/>
      <c r="I11" s="7" t="s">
        <v>46</v>
      </c>
      <c r="J11" s="7"/>
      <c r="K11" s="7" t="s">
        <v>52</v>
      </c>
      <c r="L11" s="7"/>
    </row>
    <row r="12" spans="1:12" ht="12.75">
      <c r="A12" s="5"/>
      <c r="B12" s="5"/>
      <c r="C12" s="5"/>
      <c r="D12" s="5"/>
      <c r="E12" s="7" t="s">
        <v>47</v>
      </c>
      <c r="F12" s="7"/>
      <c r="G12" s="5" t="s">
        <v>50</v>
      </c>
      <c r="I12" s="7" t="s">
        <v>47</v>
      </c>
      <c r="J12" s="7"/>
      <c r="K12" s="7" t="s">
        <v>50</v>
      </c>
      <c r="L12" s="7"/>
    </row>
    <row r="13" spans="1:12" ht="12.75">
      <c r="A13" s="5"/>
      <c r="B13" s="5"/>
      <c r="C13" s="5"/>
      <c r="D13" s="5"/>
      <c r="E13" s="9" t="s">
        <v>48</v>
      </c>
      <c r="F13" s="9"/>
      <c r="G13" s="9" t="s">
        <v>48</v>
      </c>
      <c r="I13" s="9" t="s">
        <v>51</v>
      </c>
      <c r="J13" s="9"/>
      <c r="K13" s="9" t="s">
        <v>53</v>
      </c>
      <c r="L13" s="7"/>
    </row>
    <row r="14" spans="1:12" ht="12.75">
      <c r="A14" s="1"/>
      <c r="B14" s="1"/>
      <c r="C14" s="1"/>
      <c r="D14" s="1"/>
      <c r="E14" s="16" t="s">
        <v>932</v>
      </c>
      <c r="F14" s="16"/>
      <c r="G14" s="17" t="s">
        <v>934</v>
      </c>
      <c r="I14" s="16" t="s">
        <v>932</v>
      </c>
      <c r="J14" s="16"/>
      <c r="K14" s="17" t="s">
        <v>934</v>
      </c>
      <c r="L14" s="8"/>
    </row>
    <row r="15" spans="1:12" ht="12.75">
      <c r="A15" s="1"/>
      <c r="B15" s="1"/>
      <c r="C15" s="1"/>
      <c r="D15" s="1"/>
      <c r="E15" s="7" t="s">
        <v>1067</v>
      </c>
      <c r="F15" s="7"/>
      <c r="G15" s="7" t="s">
        <v>1067</v>
      </c>
      <c r="I15" s="7" t="s">
        <v>1067</v>
      </c>
      <c r="J15" s="7"/>
      <c r="K15" s="7" t="s">
        <v>1067</v>
      </c>
      <c r="L15" s="8"/>
    </row>
    <row r="16" spans="1:12" ht="12.75">
      <c r="A16" s="1"/>
      <c r="B16" s="1"/>
      <c r="C16" s="1"/>
      <c r="D16" s="1"/>
      <c r="E16" s="8"/>
      <c r="F16" s="8"/>
      <c r="I16" s="8"/>
      <c r="J16" s="8"/>
      <c r="K16" s="8"/>
      <c r="L16" s="10"/>
    </row>
    <row r="17" spans="1:12" ht="12.75">
      <c r="A17" s="1"/>
      <c r="B17" s="1"/>
      <c r="C17" s="1"/>
      <c r="D17" s="1"/>
      <c r="E17" s="1"/>
      <c r="F17" s="1"/>
      <c r="G17" s="7"/>
      <c r="I17" s="1"/>
      <c r="J17" s="1"/>
      <c r="K17" s="1"/>
      <c r="L17" s="11"/>
    </row>
    <row r="18" spans="1:12" ht="13.5" thickBot="1">
      <c r="A18" s="1" t="s">
        <v>1068</v>
      </c>
      <c r="B18" s="1" t="s">
        <v>752</v>
      </c>
      <c r="C18" s="1"/>
      <c r="D18" s="1"/>
      <c r="E18" s="108">
        <f>'cpl-qtr2'!O10</f>
        <v>45453</v>
      </c>
      <c r="F18" s="11"/>
      <c r="G18" s="109">
        <f>'cpl-qtr2'!P10</f>
        <v>42458</v>
      </c>
      <c r="H18" s="11"/>
      <c r="I18" s="108">
        <f>'cpl-2date'!O10</f>
        <v>73834</v>
      </c>
      <c r="J18" s="11"/>
      <c r="K18" s="109">
        <f>'cpl-2date'!P10</f>
        <v>82136</v>
      </c>
      <c r="L18" s="11"/>
    </row>
    <row r="19" spans="1:12" ht="13.5" thickTop="1">
      <c r="A19" s="1"/>
      <c r="B19" s="1"/>
      <c r="C19" s="1"/>
      <c r="D19" s="1"/>
      <c r="E19" s="11"/>
      <c r="F19" s="11"/>
      <c r="G19" s="11"/>
      <c r="H19" s="11"/>
      <c r="I19" s="11"/>
      <c r="J19" s="11"/>
      <c r="K19" s="11"/>
      <c r="L19" s="11"/>
    </row>
    <row r="20" spans="1:12" ht="13.5" thickBot="1">
      <c r="A20" s="1" t="s">
        <v>1070</v>
      </c>
      <c r="B20" s="1" t="s">
        <v>1071</v>
      </c>
      <c r="C20" s="1"/>
      <c r="D20" s="1"/>
      <c r="E20" s="108">
        <f>'cpl-qtr2'!O12</f>
        <v>0</v>
      </c>
      <c r="F20" s="11"/>
      <c r="G20" s="109">
        <f>'cpl-qtr2'!P12</f>
        <v>0</v>
      </c>
      <c r="H20" s="11"/>
      <c r="I20" s="108">
        <f>'cpl-2date'!O12</f>
        <v>0</v>
      </c>
      <c r="J20" s="11"/>
      <c r="K20" s="109">
        <f>'cpl-2date'!P12</f>
        <v>0</v>
      </c>
      <c r="L20" s="11"/>
    </row>
    <row r="21" spans="1:12" ht="13.5" thickTop="1">
      <c r="A21" s="1"/>
      <c r="B21" s="1"/>
      <c r="C21" s="1"/>
      <c r="D21" s="1"/>
      <c r="E21" s="11"/>
      <c r="F21" s="11"/>
      <c r="G21" s="11"/>
      <c r="H21" s="11"/>
      <c r="I21" s="11"/>
      <c r="J21" s="11"/>
      <c r="K21" s="11"/>
      <c r="L21" s="11"/>
    </row>
    <row r="22" spans="1:12" ht="13.5" thickBot="1">
      <c r="A22" s="10" t="s">
        <v>1072</v>
      </c>
      <c r="B22" s="1" t="s">
        <v>753</v>
      </c>
      <c r="C22" s="1"/>
      <c r="D22" s="1"/>
      <c r="E22" s="108">
        <f>'cpl-qtr2'!O14</f>
        <v>361</v>
      </c>
      <c r="F22" s="11"/>
      <c r="G22" s="109">
        <f>'cpl-qtr2'!P14</f>
        <v>1305</v>
      </c>
      <c r="H22" s="11"/>
      <c r="I22" s="108">
        <f>'cpl-2date'!O14</f>
        <v>811</v>
      </c>
      <c r="J22" s="11"/>
      <c r="K22" s="109">
        <f>'cpl-2date'!P14</f>
        <v>1984</v>
      </c>
      <c r="L22" s="11"/>
    </row>
    <row r="23" spans="1:12" ht="13.5" thickTop="1">
      <c r="A23" s="1"/>
      <c r="B23" s="1"/>
      <c r="C23" s="1"/>
      <c r="D23" s="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2" t="s">
        <v>1074</v>
      </c>
      <c r="B24" s="1" t="s">
        <v>754</v>
      </c>
      <c r="C24" s="1"/>
      <c r="D24" s="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"/>
      <c r="B25" s="1" t="s">
        <v>755</v>
      </c>
      <c r="C25" s="1"/>
      <c r="D25" s="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"/>
      <c r="B26" s="1" t="s">
        <v>756</v>
      </c>
      <c r="C26" s="1"/>
      <c r="D26" s="1"/>
      <c r="E26" s="11"/>
      <c r="F26" s="11"/>
      <c r="G26" s="11"/>
      <c r="H26" s="11"/>
      <c r="I26" s="11"/>
      <c r="J26" s="11"/>
      <c r="K26" s="11"/>
      <c r="L26" s="11"/>
    </row>
    <row r="27" spans="2:12" ht="12.75">
      <c r="B27" s="1" t="s">
        <v>757</v>
      </c>
      <c r="E27" s="11">
        <f>'cpl-qtr2'!O16</f>
        <v>10562</v>
      </c>
      <c r="F27" s="11"/>
      <c r="G27" s="107">
        <f>'cpl-qtr2'!P16</f>
        <v>7691</v>
      </c>
      <c r="H27" s="11"/>
      <c r="I27" s="11">
        <f>'cpl-2date'!O19</f>
        <v>13795</v>
      </c>
      <c r="J27" s="11"/>
      <c r="K27" s="107">
        <f>'cpl-2date'!P19</f>
        <v>12895</v>
      </c>
      <c r="L27" s="11"/>
    </row>
    <row r="28" spans="1:12" ht="12.75">
      <c r="A28" s="12"/>
      <c r="B28" s="1"/>
      <c r="C28" s="1"/>
      <c r="D28" s="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2" t="s">
        <v>1070</v>
      </c>
      <c r="B29" s="1" t="s">
        <v>758</v>
      </c>
      <c r="C29" s="1"/>
      <c r="D29" s="1"/>
      <c r="E29" s="11">
        <f>'cpl-qtr2'!O18</f>
        <v>1458</v>
      </c>
      <c r="F29" s="11"/>
      <c r="G29" s="107">
        <f>'cpl-qtr2'!P18</f>
        <v>836</v>
      </c>
      <c r="H29" s="11"/>
      <c r="I29" s="11">
        <f>'cpl-2date'!O22</f>
        <v>2040</v>
      </c>
      <c r="J29" s="11"/>
      <c r="K29" s="107">
        <f>'cpl-2date'!P22</f>
        <v>1840</v>
      </c>
      <c r="L29" s="11"/>
    </row>
    <row r="30" spans="1:12" ht="12.75">
      <c r="A30" s="12"/>
      <c r="B30" s="1"/>
      <c r="C30" s="1"/>
      <c r="D30" s="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" t="s">
        <v>1081</v>
      </c>
      <c r="B31" s="1" t="s">
        <v>1082</v>
      </c>
      <c r="C31" s="1"/>
      <c r="D31" s="1"/>
      <c r="E31" s="11">
        <f>'cpl-qtr2'!O20</f>
        <v>1892</v>
      </c>
      <c r="F31" s="11"/>
      <c r="G31" s="107">
        <f>'cpl-qtr2'!P20</f>
        <v>2285</v>
      </c>
      <c r="H31" s="11"/>
      <c r="I31" s="11">
        <f>'cpl-2date'!O24</f>
        <v>3744</v>
      </c>
      <c r="J31" s="11"/>
      <c r="K31" s="107">
        <f>'cpl-2date'!P24</f>
        <v>4589</v>
      </c>
      <c r="L31" s="11"/>
    </row>
    <row r="32" spans="1:12" ht="12.75">
      <c r="A32" s="1"/>
      <c r="B32" s="1"/>
      <c r="C32" s="1"/>
      <c r="D32" s="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" t="s">
        <v>1083</v>
      </c>
      <c r="B33" s="1" t="s">
        <v>266</v>
      </c>
      <c r="C33" s="1"/>
      <c r="D33" s="1"/>
      <c r="E33" s="11">
        <f>'cpl-qtr2'!O22</f>
        <v>0</v>
      </c>
      <c r="F33" s="11"/>
      <c r="G33" s="107">
        <v>0</v>
      </c>
      <c r="H33" s="11"/>
      <c r="I33" s="11">
        <f>'cpl-2date'!O26</f>
        <v>0</v>
      </c>
      <c r="J33" s="11"/>
      <c r="K33" s="107">
        <v>0</v>
      </c>
      <c r="L33" s="11"/>
    </row>
    <row r="34" spans="2:12" ht="12.75">
      <c r="B34" s="1"/>
      <c r="C34" s="1"/>
      <c r="D34" s="1"/>
      <c r="E34" s="65"/>
      <c r="F34" s="11"/>
      <c r="G34" s="65"/>
      <c r="H34" s="11"/>
      <c r="I34" s="65"/>
      <c r="J34" s="11"/>
      <c r="K34" s="65"/>
      <c r="L34" s="11"/>
    </row>
    <row r="35" spans="1:12" ht="12.75">
      <c r="A35" s="8" t="s">
        <v>414</v>
      </c>
      <c r="B35" s="1" t="s">
        <v>774</v>
      </c>
      <c r="C35" s="1"/>
      <c r="D35" s="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"/>
      <c r="B36" s="1" t="s">
        <v>759</v>
      </c>
      <c r="C36" s="1"/>
      <c r="D36" s="1"/>
      <c r="E36" s="11"/>
      <c r="F36" s="11"/>
      <c r="G36" s="11"/>
      <c r="H36" s="11"/>
      <c r="I36" s="11"/>
      <c r="J36" s="11"/>
      <c r="K36" s="11"/>
      <c r="L36" s="11"/>
    </row>
    <row r="37" spans="2:12" ht="12.75">
      <c r="B37" s="1" t="s">
        <v>1090</v>
      </c>
      <c r="C37" s="1"/>
      <c r="D37" s="1"/>
      <c r="E37" s="11">
        <f>E27-E29-E31-E33</f>
        <v>7212</v>
      </c>
      <c r="F37" s="11">
        <f>F27-F29-F31-F33</f>
        <v>0</v>
      </c>
      <c r="G37" s="11">
        <f>G27-G29-G31-G33</f>
        <v>4570</v>
      </c>
      <c r="H37" s="11"/>
      <c r="I37" s="11">
        <f>I27-I29-I31-I33</f>
        <v>8011</v>
      </c>
      <c r="J37" s="11"/>
      <c r="K37" s="11">
        <f>K27-K29-K31-K33</f>
        <v>6466</v>
      </c>
      <c r="L37" s="11"/>
    </row>
    <row r="38" spans="1:12" ht="12.75">
      <c r="A38" s="13"/>
      <c r="B38" s="1"/>
      <c r="C38" s="1"/>
      <c r="D38" s="1"/>
      <c r="E38" s="11"/>
      <c r="F38" s="11"/>
      <c r="G38" s="11"/>
      <c r="H38" s="11"/>
      <c r="I38" s="11"/>
      <c r="J38" s="11"/>
      <c r="K38" s="11"/>
      <c r="L38" s="11"/>
    </row>
    <row r="39" spans="1:15" ht="12.75">
      <c r="A39" s="1" t="s">
        <v>160</v>
      </c>
      <c r="B39" s="1" t="s">
        <v>923</v>
      </c>
      <c r="C39" s="1"/>
      <c r="D39" s="1"/>
      <c r="E39" s="11"/>
      <c r="F39" s="11"/>
      <c r="G39" s="11"/>
      <c r="H39" s="11"/>
      <c r="I39" s="11"/>
      <c r="J39" s="11"/>
      <c r="K39" s="11"/>
      <c r="L39" s="14"/>
      <c r="M39" s="1"/>
      <c r="N39" s="1"/>
      <c r="O39" s="1"/>
    </row>
    <row r="40" spans="1:15" ht="12.75">
      <c r="A40" s="1"/>
      <c r="B40" s="1" t="s">
        <v>760</v>
      </c>
      <c r="C40" s="1"/>
      <c r="D40" s="1"/>
      <c r="E40" s="11">
        <f>'cpl-qtr2'!O26</f>
        <v>-26</v>
      </c>
      <c r="F40" s="11">
        <v>0</v>
      </c>
      <c r="G40" s="107">
        <f>'cpl-qtr2'!P26</f>
        <v>-58</v>
      </c>
      <c r="H40" s="11"/>
      <c r="I40" s="11">
        <f>-'cpl-2date'!O30</f>
        <v>-84</v>
      </c>
      <c r="J40" s="11"/>
      <c r="K40" s="107">
        <f>-'cpl-2date'!P30</f>
        <v>-124</v>
      </c>
      <c r="L40" s="14"/>
      <c r="M40" s="1"/>
      <c r="N40" s="1"/>
      <c r="O40" s="1"/>
    </row>
    <row r="41" spans="2:15" ht="12.75">
      <c r="B41" s="1"/>
      <c r="C41" s="1"/>
      <c r="D41" s="1"/>
      <c r="E41" s="65"/>
      <c r="F41" s="11"/>
      <c r="G41" s="65"/>
      <c r="H41" s="11"/>
      <c r="I41" s="65"/>
      <c r="J41" s="11"/>
      <c r="K41" s="65"/>
      <c r="L41" s="1"/>
      <c r="M41" s="1"/>
      <c r="N41" s="1"/>
      <c r="O41" s="1"/>
    </row>
    <row r="42" spans="1:15" ht="12.75">
      <c r="A42" s="8" t="s">
        <v>3</v>
      </c>
      <c r="B42" s="1" t="s">
        <v>781</v>
      </c>
      <c r="C42" s="1"/>
      <c r="D42" s="1"/>
      <c r="E42" s="11"/>
      <c r="F42" s="11"/>
      <c r="G42" s="11"/>
      <c r="H42" s="11"/>
      <c r="I42" s="11"/>
      <c r="J42" s="11"/>
      <c r="K42" s="11"/>
      <c r="L42" s="1"/>
      <c r="M42" s="1"/>
      <c r="N42" s="1"/>
      <c r="O42" s="1"/>
    </row>
    <row r="43" spans="1:15" ht="12.75">
      <c r="A43" s="8"/>
      <c r="B43" s="1" t="s">
        <v>5</v>
      </c>
      <c r="C43" s="1"/>
      <c r="D43" s="1"/>
      <c r="E43" s="11">
        <f>E37+E40</f>
        <v>7186</v>
      </c>
      <c r="F43" s="11">
        <f>F37+F40</f>
        <v>0</v>
      </c>
      <c r="G43" s="11">
        <f>G37+G40</f>
        <v>4512</v>
      </c>
      <c r="H43" s="11"/>
      <c r="I43" s="11">
        <f>I37+I40</f>
        <v>7927</v>
      </c>
      <c r="J43" s="11"/>
      <c r="K43" s="107">
        <f>K37+K40</f>
        <v>6342</v>
      </c>
      <c r="L43" s="1"/>
      <c r="M43" s="1"/>
      <c r="N43" s="1"/>
      <c r="O43" s="1"/>
    </row>
    <row r="44" spans="2:15" ht="12.75">
      <c r="B44" s="1"/>
      <c r="C44" s="1"/>
      <c r="D44" s="1"/>
      <c r="E44" s="11"/>
      <c r="F44" s="11"/>
      <c r="G44" s="11"/>
      <c r="H44" s="11"/>
      <c r="I44" s="11"/>
      <c r="J44" s="11"/>
      <c r="K44" s="11"/>
      <c r="L44" s="1"/>
      <c r="M44" s="1"/>
      <c r="N44" s="1"/>
      <c r="O44" s="1"/>
    </row>
    <row r="45" spans="1:15" ht="12.75">
      <c r="A45" s="8" t="s">
        <v>6</v>
      </c>
      <c r="B45" s="1" t="s">
        <v>761</v>
      </c>
      <c r="C45" s="1"/>
      <c r="D45" s="1"/>
      <c r="E45" s="11">
        <f>-'cpl-qtr2'!O32</f>
        <v>-1894</v>
      </c>
      <c r="F45" s="11"/>
      <c r="G45" s="107">
        <f>-'cpl-qtr2'!P32</f>
        <v>-925</v>
      </c>
      <c r="H45" s="11"/>
      <c r="I45" s="11">
        <f>-'cpl-2date'!O35</f>
        <v>-2980</v>
      </c>
      <c r="J45" s="11"/>
      <c r="K45" s="107">
        <f>-'cpl-2date'!P35</f>
        <v>-1999</v>
      </c>
      <c r="L45" s="1"/>
      <c r="M45" s="1"/>
      <c r="N45" s="1"/>
      <c r="O45" s="1"/>
    </row>
    <row r="46" spans="1:15" ht="12.75">
      <c r="A46" s="8"/>
      <c r="B46" s="1"/>
      <c r="C46" s="1"/>
      <c r="D46" s="1"/>
      <c r="E46" s="65"/>
      <c r="F46" s="11"/>
      <c r="G46" s="65"/>
      <c r="H46" s="11"/>
      <c r="I46" s="65"/>
      <c r="J46" s="11"/>
      <c r="K46" s="65"/>
      <c r="L46" s="1"/>
      <c r="M46" s="1"/>
      <c r="N46" s="1"/>
      <c r="O46" s="1"/>
    </row>
    <row r="47" spans="1:15" ht="12.75">
      <c r="A47" s="8" t="s">
        <v>652</v>
      </c>
      <c r="B47" s="1" t="s">
        <v>782</v>
      </c>
      <c r="C47" s="1"/>
      <c r="D47" s="1"/>
      <c r="E47" s="11"/>
      <c r="F47" s="11"/>
      <c r="G47" s="11"/>
      <c r="H47" s="11"/>
      <c r="I47" s="11"/>
      <c r="J47" s="11"/>
      <c r="K47" s="11"/>
      <c r="L47" s="1"/>
      <c r="M47" s="1"/>
      <c r="N47" s="1"/>
      <c r="O47" s="1"/>
    </row>
    <row r="48" spans="1:15" ht="12.75">
      <c r="A48" s="8"/>
      <c r="B48" s="1" t="s">
        <v>26</v>
      </c>
      <c r="C48" s="1"/>
      <c r="D48" s="1"/>
      <c r="E48" s="170">
        <f>E43+E45</f>
        <v>5292</v>
      </c>
      <c r="F48" s="11">
        <f>F43-F45</f>
        <v>0</v>
      </c>
      <c r="G48" s="11">
        <f>G43+G45</f>
        <v>3587</v>
      </c>
      <c r="H48" s="11"/>
      <c r="I48" s="170">
        <f>I43+I45</f>
        <v>4947</v>
      </c>
      <c r="J48" s="11"/>
      <c r="K48" s="107">
        <f>K43+K45</f>
        <v>4343</v>
      </c>
      <c r="L48" s="1"/>
      <c r="M48" s="1"/>
      <c r="N48" s="1"/>
      <c r="O48" s="1"/>
    </row>
    <row r="49" spans="2:15" ht="12.75">
      <c r="B49" s="1"/>
      <c r="C49" s="1"/>
      <c r="D49" s="1"/>
      <c r="E49" s="11"/>
      <c r="F49" s="11"/>
      <c r="G49" s="11"/>
      <c r="H49" s="11"/>
      <c r="I49" s="11"/>
      <c r="J49" s="11"/>
      <c r="K49" s="11"/>
      <c r="L49" s="1"/>
      <c r="M49" s="1"/>
      <c r="N49" s="1"/>
      <c r="O49" s="1"/>
    </row>
    <row r="50" spans="1:15" ht="12.75">
      <c r="A50" s="8"/>
      <c r="B50" s="1" t="s">
        <v>32</v>
      </c>
      <c r="C50" s="1"/>
      <c r="D50" s="1"/>
      <c r="E50" s="11">
        <f>'cpl-qtr2'!O37</f>
        <v>-413</v>
      </c>
      <c r="F50" s="11"/>
      <c r="G50" s="107">
        <f>'cpl-qtr2'!P37</f>
        <v>-573</v>
      </c>
      <c r="H50" s="11"/>
      <c r="I50" s="11">
        <f>'cpl-2date'!O40</f>
        <v>-1628</v>
      </c>
      <c r="J50" s="11"/>
      <c r="K50" s="107">
        <f>'cpl-2date'!P40</f>
        <v>-473</v>
      </c>
      <c r="L50" s="1"/>
      <c r="M50" s="1"/>
      <c r="N50" s="1"/>
      <c r="O50" s="1"/>
    </row>
    <row r="51" spans="1:15" ht="12.75">
      <c r="A51" s="8"/>
      <c r="B51" s="1"/>
      <c r="C51" s="1"/>
      <c r="D51" s="1"/>
      <c r="E51" s="22"/>
      <c r="F51" s="212"/>
      <c r="G51" s="22"/>
      <c r="H51" s="22"/>
      <c r="I51" s="22"/>
      <c r="J51" s="22"/>
      <c r="K51" s="22"/>
      <c r="L51" s="1"/>
      <c r="M51" s="1"/>
      <c r="N51" s="1"/>
      <c r="O51" s="1"/>
    </row>
    <row r="52" spans="1:15" ht="12.75">
      <c r="A52" s="8" t="s">
        <v>27</v>
      </c>
      <c r="B52" s="1" t="s">
        <v>762</v>
      </c>
      <c r="C52" s="1"/>
      <c r="D52" s="1"/>
      <c r="E52" s="22">
        <v>0</v>
      </c>
      <c r="G52" s="22">
        <v>0</v>
      </c>
      <c r="H52" s="11"/>
      <c r="I52" s="22">
        <v>0</v>
      </c>
      <c r="J52" s="11"/>
      <c r="K52" s="22">
        <v>0</v>
      </c>
      <c r="L52" s="1"/>
      <c r="M52" s="1"/>
      <c r="N52" s="1"/>
      <c r="O52" s="1"/>
    </row>
    <row r="53" spans="1:15" ht="12.75">
      <c r="A53" s="8"/>
      <c r="B53" s="8" t="s">
        <v>763</v>
      </c>
      <c r="C53" s="1"/>
      <c r="D53" s="1"/>
      <c r="E53" s="22"/>
      <c r="G53" s="22"/>
      <c r="H53" s="11"/>
      <c r="I53" s="22"/>
      <c r="J53" s="11"/>
      <c r="K53" s="22"/>
      <c r="L53" s="1"/>
      <c r="M53" s="1"/>
      <c r="N53" s="1"/>
      <c r="O53" s="1"/>
    </row>
    <row r="54" spans="2:15" ht="12.75">
      <c r="B54" s="1"/>
      <c r="C54" s="1"/>
      <c r="D54" s="1"/>
      <c r="E54" s="65"/>
      <c r="G54" s="65"/>
      <c r="H54" s="11"/>
      <c r="I54" s="65"/>
      <c r="J54" s="11"/>
      <c r="K54" s="65"/>
      <c r="L54" s="1"/>
      <c r="M54" s="1"/>
      <c r="N54" s="1"/>
      <c r="O54" s="1"/>
    </row>
    <row r="55" spans="1:15" ht="12.75">
      <c r="A55" s="8" t="s">
        <v>30</v>
      </c>
      <c r="B55" s="1" t="s">
        <v>764</v>
      </c>
      <c r="C55" s="1"/>
      <c r="D55" s="1"/>
      <c r="E55" s="11"/>
      <c r="F55" s="11"/>
      <c r="G55" s="11"/>
      <c r="H55" s="11"/>
      <c r="I55" s="11"/>
      <c r="J55" s="11"/>
      <c r="K55" s="11"/>
      <c r="L55" s="1"/>
      <c r="M55" s="1"/>
      <c r="N55" s="1"/>
      <c r="O55" s="1"/>
    </row>
    <row r="56" spans="1:15" ht="12.75">
      <c r="A56" s="8"/>
      <c r="B56" s="1" t="s">
        <v>29</v>
      </c>
      <c r="C56" s="1"/>
      <c r="D56" s="1"/>
      <c r="E56" s="170">
        <f>E48+E50</f>
        <v>4879</v>
      </c>
      <c r="F56" s="11">
        <f>F48-F50</f>
        <v>0</v>
      </c>
      <c r="G56" s="11">
        <f>G48+G50+G52</f>
        <v>3014</v>
      </c>
      <c r="H56" s="11"/>
      <c r="I56" s="170">
        <f>I48+I50+I52</f>
        <v>3319</v>
      </c>
      <c r="J56" s="11"/>
      <c r="K56" s="170">
        <f>K48+K50+K52</f>
        <v>3870</v>
      </c>
      <c r="L56" s="1"/>
      <c r="M56" s="1"/>
      <c r="N56" s="1"/>
      <c r="O56" s="1"/>
    </row>
    <row r="57" spans="2:15" ht="12.75">
      <c r="B57" s="1"/>
      <c r="C57" s="1"/>
      <c r="D57" s="1"/>
      <c r="E57" s="11"/>
      <c r="F57" s="11"/>
      <c r="G57" s="11"/>
      <c r="H57" s="11"/>
      <c r="I57" s="11"/>
      <c r="J57" s="11"/>
      <c r="K57" s="11"/>
      <c r="L57" s="1"/>
      <c r="M57" s="1"/>
      <c r="N57" s="1"/>
      <c r="O57" s="1"/>
    </row>
    <row r="58" spans="1:15" ht="12.75">
      <c r="A58" s="8" t="s">
        <v>35</v>
      </c>
      <c r="B58" s="1" t="s">
        <v>31</v>
      </c>
      <c r="C58" s="1"/>
      <c r="D58" s="1"/>
      <c r="E58" s="11">
        <v>0</v>
      </c>
      <c r="F58" s="11"/>
      <c r="G58" s="107">
        <v>0</v>
      </c>
      <c r="H58" s="11"/>
      <c r="I58" s="11">
        <v>0</v>
      </c>
      <c r="J58" s="11"/>
      <c r="K58" s="107">
        <v>0</v>
      </c>
      <c r="L58" s="1"/>
      <c r="M58" s="1"/>
      <c r="N58" s="1"/>
      <c r="O58" s="1"/>
    </row>
    <row r="59" spans="1:15" ht="12.75">
      <c r="A59" s="8"/>
      <c r="B59" s="1" t="s">
        <v>32</v>
      </c>
      <c r="C59" s="1"/>
      <c r="D59" s="1"/>
      <c r="E59" s="11">
        <v>0</v>
      </c>
      <c r="F59" s="11"/>
      <c r="G59" s="107">
        <v>0</v>
      </c>
      <c r="H59" s="11"/>
      <c r="I59" s="11">
        <v>0</v>
      </c>
      <c r="J59" s="11"/>
      <c r="K59" s="107">
        <v>0</v>
      </c>
      <c r="L59" s="1"/>
      <c r="M59" s="1"/>
      <c r="N59" s="1"/>
      <c r="O59" s="1"/>
    </row>
    <row r="60" spans="1:15" ht="12.75">
      <c r="A60" s="8"/>
      <c r="B60" s="1" t="s">
        <v>33</v>
      </c>
      <c r="C60" s="1"/>
      <c r="D60" s="1"/>
      <c r="E60" s="11"/>
      <c r="F60" s="11"/>
      <c r="G60" s="11"/>
      <c r="H60" s="11"/>
      <c r="I60" s="11"/>
      <c r="J60" s="11"/>
      <c r="K60" s="11"/>
      <c r="L60" s="1"/>
      <c r="M60" s="1"/>
      <c r="N60" s="1"/>
      <c r="O60" s="1"/>
    </row>
    <row r="61" spans="1:15" ht="12.75">
      <c r="A61" s="8"/>
      <c r="B61" s="1" t="s">
        <v>34</v>
      </c>
      <c r="C61" s="1"/>
      <c r="D61" s="1"/>
      <c r="E61" s="11">
        <v>0</v>
      </c>
      <c r="F61" s="11"/>
      <c r="G61" s="107">
        <v>0</v>
      </c>
      <c r="H61" s="11"/>
      <c r="I61" s="11">
        <v>0</v>
      </c>
      <c r="J61" s="11"/>
      <c r="K61" s="107">
        <v>0</v>
      </c>
      <c r="L61" s="1"/>
      <c r="M61" s="1"/>
      <c r="N61" s="1"/>
      <c r="O61" s="1"/>
    </row>
    <row r="62" spans="1:15" ht="12.75">
      <c r="A62" s="8"/>
      <c r="B62" s="1"/>
      <c r="C62" s="1"/>
      <c r="D62" s="1"/>
      <c r="E62" s="65"/>
      <c r="G62" s="65"/>
      <c r="H62" s="11"/>
      <c r="I62" s="65"/>
      <c r="J62" s="11"/>
      <c r="K62" s="65"/>
      <c r="L62" s="1"/>
      <c r="M62" s="1"/>
      <c r="N62" s="1"/>
      <c r="O62" s="1"/>
    </row>
    <row r="63" spans="1:15" ht="12.75">
      <c r="A63" s="8" t="s">
        <v>765</v>
      </c>
      <c r="B63" s="1" t="s">
        <v>766</v>
      </c>
      <c r="C63" s="1"/>
      <c r="D63" s="1"/>
      <c r="E63" s="11"/>
      <c r="F63" s="11"/>
      <c r="G63" s="11"/>
      <c r="H63" s="11"/>
      <c r="I63" s="11"/>
      <c r="J63" s="11"/>
      <c r="K63" s="11"/>
      <c r="L63" s="1"/>
      <c r="M63" s="1"/>
      <c r="N63" s="1"/>
      <c r="O63" s="1"/>
    </row>
    <row r="64" spans="1:15" ht="13.5" thickBot="1">
      <c r="A64" s="8"/>
      <c r="B64" s="1" t="s">
        <v>767</v>
      </c>
      <c r="C64" s="1"/>
      <c r="D64" s="1"/>
      <c r="E64" s="108">
        <f>E56-E61</f>
        <v>4879</v>
      </c>
      <c r="G64" s="108">
        <f>G56-G61</f>
        <v>3014</v>
      </c>
      <c r="H64" s="11"/>
      <c r="I64" s="108">
        <f>I56-I61</f>
        <v>3319</v>
      </c>
      <c r="J64" s="11"/>
      <c r="K64" s="108">
        <f>K56-K61</f>
        <v>3870</v>
      </c>
      <c r="L64" s="1"/>
      <c r="M64" s="1"/>
      <c r="N64" s="1"/>
      <c r="O64" s="1"/>
    </row>
    <row r="65" spans="1:15" ht="13.5" thickTop="1">
      <c r="A65" s="8"/>
      <c r="B65" s="1"/>
      <c r="C65" s="1"/>
      <c r="D65" s="1"/>
      <c r="E65" s="11"/>
      <c r="F65" s="11"/>
      <c r="G65" s="11"/>
      <c r="H65" s="11"/>
      <c r="I65" s="11"/>
      <c r="J65" s="11"/>
      <c r="K65" s="11"/>
      <c r="L65" s="1"/>
      <c r="M65" s="1"/>
      <c r="N65" s="1"/>
      <c r="O65" s="1"/>
    </row>
    <row r="66" spans="1:15" ht="12.75">
      <c r="A66" s="8">
        <v>3</v>
      </c>
      <c r="B66" s="1" t="s">
        <v>768</v>
      </c>
      <c r="C66" s="1"/>
      <c r="D66" s="1"/>
      <c r="E66" s="11"/>
      <c r="F66" s="11"/>
      <c r="G66" s="11"/>
      <c r="H66" s="11"/>
      <c r="I66" s="11"/>
      <c r="J66" s="11"/>
      <c r="K66" s="11"/>
      <c r="L66" s="1"/>
      <c r="M66" s="1"/>
      <c r="N66" s="1"/>
      <c r="O66" s="1"/>
    </row>
    <row r="67" spans="1:15" ht="12.75">
      <c r="A67" s="8"/>
      <c r="B67" s="1" t="s">
        <v>41</v>
      </c>
      <c r="C67" s="1"/>
      <c r="D67" s="1"/>
      <c r="E67" s="11"/>
      <c r="F67" s="11"/>
      <c r="G67" s="11"/>
      <c r="H67" s="11"/>
      <c r="I67" s="11"/>
      <c r="J67" s="11"/>
      <c r="K67" s="11"/>
      <c r="L67" s="1"/>
      <c r="M67" s="1"/>
      <c r="N67" s="1"/>
      <c r="O67" s="1"/>
    </row>
    <row r="68" spans="1:15" ht="12.75">
      <c r="A68" s="8"/>
      <c r="B68" s="1" t="s">
        <v>42</v>
      </c>
      <c r="C68" s="1"/>
      <c r="D68" s="1"/>
      <c r="E68" s="11"/>
      <c r="F68" s="11"/>
      <c r="G68" s="11"/>
      <c r="H68" s="11"/>
      <c r="I68" s="11"/>
      <c r="J68" s="11"/>
      <c r="K68" s="11"/>
      <c r="L68" s="1"/>
      <c r="M68" s="1"/>
      <c r="N68" s="1"/>
      <c r="O68" s="1"/>
    </row>
    <row r="69" spans="1:15" ht="12.75">
      <c r="A69" s="8"/>
      <c r="B69" s="1"/>
      <c r="C69" s="1"/>
      <c r="D69" s="1"/>
      <c r="E69" s="11"/>
      <c r="F69" s="11"/>
      <c r="G69" s="11"/>
      <c r="H69" s="11"/>
      <c r="I69" s="11"/>
      <c r="J69" s="11"/>
      <c r="K69" s="11"/>
      <c r="L69" s="1"/>
      <c r="M69" s="1"/>
      <c r="N69" s="1"/>
      <c r="O69" s="1"/>
    </row>
    <row r="70" spans="1:15" ht="12.75">
      <c r="A70" s="8"/>
      <c r="B70" s="1" t="s">
        <v>783</v>
      </c>
      <c r="C70" s="1"/>
      <c r="D70" s="1"/>
      <c r="E70" s="11"/>
      <c r="F70" s="11"/>
      <c r="G70" s="11"/>
      <c r="H70" s="11"/>
      <c r="I70" s="11"/>
      <c r="J70" s="11"/>
      <c r="K70" s="11"/>
      <c r="L70" s="1"/>
      <c r="M70" s="1"/>
      <c r="N70" s="1"/>
      <c r="O70" s="1"/>
    </row>
    <row r="71" spans="1:15" ht="13.5" thickBot="1">
      <c r="A71" s="8"/>
      <c r="B71" s="1" t="s">
        <v>487</v>
      </c>
      <c r="C71" s="1"/>
      <c r="D71" s="1"/>
      <c r="E71" s="110">
        <f>E64/70000*100</f>
        <v>6.97</v>
      </c>
      <c r="G71" s="110">
        <f>G64/70000*100</f>
        <v>4.305714285714286</v>
      </c>
      <c r="H71" s="11"/>
      <c r="I71" s="110">
        <f>I64/70000*100</f>
        <v>4.741428571428571</v>
      </c>
      <c r="J71" s="15"/>
      <c r="K71" s="110">
        <f>K64/70000*100</f>
        <v>5.5285714285714285</v>
      </c>
      <c r="L71" s="1"/>
      <c r="M71" s="1"/>
      <c r="N71" s="1"/>
      <c r="O71" s="1"/>
    </row>
    <row r="72" spans="1:15" ht="13.5" thickTop="1">
      <c r="A72" s="8"/>
      <c r="B72" s="1"/>
      <c r="C72" s="1"/>
      <c r="D72" s="1"/>
      <c r="E72" s="11"/>
      <c r="F72" s="11"/>
      <c r="G72" s="11"/>
      <c r="H72" s="11"/>
      <c r="I72" s="11"/>
      <c r="J72" s="11"/>
      <c r="K72" s="11"/>
      <c r="L72" s="1"/>
      <c r="M72" s="1"/>
      <c r="N72" s="1"/>
      <c r="O72" s="1"/>
    </row>
    <row r="73" spans="1:15" ht="12.75">
      <c r="A73" s="8"/>
      <c r="B73" s="1" t="s">
        <v>784</v>
      </c>
      <c r="C73" s="1"/>
      <c r="D73" s="1"/>
      <c r="E73" s="11"/>
      <c r="F73" s="11"/>
      <c r="G73" s="11"/>
      <c r="H73" s="11"/>
      <c r="I73" s="11"/>
      <c r="J73" s="11"/>
      <c r="K73" s="11"/>
      <c r="L73" s="1"/>
      <c r="M73" s="1"/>
      <c r="N73" s="1"/>
      <c r="O73" s="1"/>
    </row>
    <row r="74" spans="1:15" ht="13.5" thickBot="1">
      <c r="A74" s="8"/>
      <c r="B74" s="1" t="s">
        <v>486</v>
      </c>
      <c r="C74" s="1"/>
      <c r="D74" s="1"/>
      <c r="E74" s="111">
        <v>0</v>
      </c>
      <c r="F74" s="80"/>
      <c r="G74" s="111">
        <v>0</v>
      </c>
      <c r="H74" s="11"/>
      <c r="I74" s="111">
        <v>0</v>
      </c>
      <c r="J74" s="80"/>
      <c r="K74" s="109">
        <v>0</v>
      </c>
      <c r="L74" s="1"/>
      <c r="M74" s="1"/>
      <c r="N74" s="1"/>
      <c r="O74" s="1"/>
    </row>
    <row r="75" spans="1:15" ht="13.5" thickTop="1">
      <c r="A75" s="8"/>
      <c r="B75" s="1"/>
      <c r="C75" s="1"/>
      <c r="D75" s="1"/>
      <c r="E75" s="11"/>
      <c r="F75" s="11"/>
      <c r="G75" s="11"/>
      <c r="H75" s="11"/>
      <c r="I75" s="11"/>
      <c r="J75" s="11"/>
      <c r="K75" s="11"/>
      <c r="L75" s="1"/>
      <c r="M75" s="1"/>
      <c r="N75" s="1"/>
      <c r="O75" s="1"/>
    </row>
    <row r="76" spans="2:15" ht="12.75">
      <c r="B76" s="1"/>
      <c r="C76" s="1"/>
      <c r="D76" s="1"/>
      <c r="E76" s="11"/>
      <c r="F76" s="11"/>
      <c r="G76" s="11"/>
      <c r="H76" s="11"/>
      <c r="I76" s="11"/>
      <c r="J76" s="11"/>
      <c r="K76" s="63"/>
      <c r="L76" s="1"/>
      <c r="M76" s="1"/>
      <c r="N76" s="1"/>
      <c r="O76" s="1"/>
    </row>
    <row r="77" spans="1:15" ht="12.75">
      <c r="A77" s="13"/>
      <c r="B77" s="1"/>
      <c r="C77" s="1"/>
      <c r="D77" s="1"/>
      <c r="E77" s="11"/>
      <c r="F77" s="11"/>
      <c r="G77" s="11"/>
      <c r="H77" s="11"/>
      <c r="I77" s="11"/>
      <c r="J77" s="11"/>
      <c r="K77" s="11"/>
      <c r="L77" s="1"/>
      <c r="M77" s="1"/>
      <c r="N77" s="1"/>
      <c r="O77" s="1"/>
    </row>
    <row r="78" spans="1:15" ht="12.75">
      <c r="A78" s="13"/>
      <c r="B78" s="1"/>
      <c r="C78" s="1"/>
      <c r="D78" s="1"/>
      <c r="E78" s="11"/>
      <c r="F78" s="11"/>
      <c r="G78" s="11"/>
      <c r="H78" s="11"/>
      <c r="I78" s="11"/>
      <c r="J78" s="11"/>
      <c r="K78" s="11"/>
      <c r="L78" s="1"/>
      <c r="M78" s="1"/>
      <c r="N78" s="1"/>
      <c r="O78" s="1"/>
    </row>
    <row r="79" spans="2:15" ht="12.75">
      <c r="B79" s="1"/>
      <c r="C79" s="1"/>
      <c r="D79" s="1"/>
      <c r="E79" s="11"/>
      <c r="F79" s="11"/>
      <c r="G79" s="20"/>
      <c r="H79" s="11"/>
      <c r="I79" s="11"/>
      <c r="J79" s="11"/>
      <c r="K79" s="11"/>
      <c r="L79" s="1"/>
      <c r="M79" s="1"/>
      <c r="N79" s="1"/>
      <c r="O79" s="1"/>
    </row>
    <row r="80" spans="2:15" ht="12.75">
      <c r="B80" s="1"/>
      <c r="C80" s="1"/>
      <c r="D80" s="1"/>
      <c r="E80" s="11"/>
      <c r="F80" s="11"/>
      <c r="G80" s="11"/>
      <c r="H80" s="11"/>
      <c r="I80" s="11"/>
      <c r="J80" s="11"/>
      <c r="K80" s="11"/>
      <c r="L80" s="1"/>
      <c r="M80" s="1"/>
      <c r="N80" s="1"/>
      <c r="O80" s="1"/>
    </row>
    <row r="81" spans="3:15" ht="12.75">
      <c r="C81" s="20"/>
      <c r="D81" s="20"/>
      <c r="E81" s="300"/>
      <c r="F81" s="300"/>
      <c r="G81" s="300"/>
      <c r="H81" s="11"/>
      <c r="I81" s="11"/>
      <c r="J81" s="11"/>
      <c r="K81" s="11"/>
      <c r="L81" s="1"/>
      <c r="M81" s="1"/>
      <c r="N81" s="1"/>
      <c r="O81" s="1"/>
    </row>
    <row r="82" spans="2:15" ht="12.75">
      <c r="B82" s="1"/>
      <c r="C82" s="1"/>
      <c r="D82" s="1"/>
      <c r="E82" s="11"/>
      <c r="F82" s="11"/>
      <c r="G82" s="11"/>
      <c r="H82" s="11"/>
      <c r="I82" s="11"/>
      <c r="J82" s="11"/>
      <c r="K82" s="11"/>
      <c r="L82" s="1"/>
      <c r="M82" s="1"/>
      <c r="N82" s="1"/>
      <c r="O82" s="1"/>
    </row>
    <row r="83" spans="2:15" ht="12.75">
      <c r="B83" s="1"/>
      <c r="C83" s="1"/>
      <c r="D83" s="1"/>
      <c r="E83" s="11"/>
      <c r="F83" s="11"/>
      <c r="G83" s="11"/>
      <c r="H83" s="11"/>
      <c r="I83" s="11"/>
      <c r="J83" s="11"/>
      <c r="K83" s="11"/>
      <c r="L83" s="1"/>
      <c r="M83" s="1"/>
      <c r="N83" s="1"/>
      <c r="O83" s="1"/>
    </row>
    <row r="84" spans="2:15" ht="12.75">
      <c r="B84" s="1"/>
      <c r="C84" s="1"/>
      <c r="D84" s="1"/>
      <c r="E84" s="11"/>
      <c r="F84" s="11"/>
      <c r="G84" s="11"/>
      <c r="H84" s="11"/>
      <c r="I84" s="11"/>
      <c r="J84" s="11"/>
      <c r="K84" s="11"/>
      <c r="L84" s="1"/>
      <c r="M84" s="1"/>
      <c r="N84" s="1"/>
      <c r="O84" s="1"/>
    </row>
    <row r="85" spans="2:15" ht="12.75">
      <c r="B85" s="1"/>
      <c r="C85" s="1"/>
      <c r="D85" s="1"/>
      <c r="E85" s="11"/>
      <c r="F85" s="11"/>
      <c r="G85" s="11"/>
      <c r="H85" s="11"/>
      <c r="I85" s="11"/>
      <c r="J85" s="11"/>
      <c r="K85" s="11"/>
      <c r="L85" s="1"/>
      <c r="M85" s="1"/>
      <c r="N85" s="1"/>
      <c r="O85" s="1"/>
    </row>
    <row r="86" spans="5:12" ht="12.75">
      <c r="E86" s="1"/>
      <c r="F86" s="1"/>
      <c r="G86" s="1"/>
      <c r="H86" s="1"/>
      <c r="I86" s="1"/>
      <c r="J86" s="1"/>
      <c r="K86" s="1"/>
      <c r="L86" s="1"/>
    </row>
    <row r="87" spans="5:11" ht="12.75">
      <c r="E87" s="1"/>
      <c r="F87" s="1"/>
      <c r="G87" s="1"/>
      <c r="H87" s="1"/>
      <c r="I87" s="1"/>
      <c r="J87" s="1"/>
      <c r="K87" s="1"/>
    </row>
    <row r="88" spans="5:11" ht="12.75">
      <c r="E88" s="1"/>
      <c r="F88" s="1"/>
      <c r="G88" s="1"/>
      <c r="H88" s="1"/>
      <c r="I88" s="1"/>
      <c r="J88" s="1"/>
      <c r="K88" s="1"/>
    </row>
  </sheetData>
  <mergeCells count="2">
    <mergeCell ref="E10:G10"/>
    <mergeCell ref="I10:K10"/>
  </mergeCells>
  <printOptions/>
  <pageMargins left="0.75" right="0.18" top="0.45" bottom="0.53" header="0.25" footer="0.5"/>
  <pageSetup horizontalDpi="360" verticalDpi="3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7"/>
  <sheetViews>
    <sheetView workbookViewId="0" topLeftCell="A177">
      <selection activeCell="G179" sqref="G179"/>
    </sheetView>
  </sheetViews>
  <sheetFormatPr defaultColWidth="9.140625" defaultRowHeight="12.75"/>
  <cols>
    <col min="1" max="1" width="5.28125" style="27" customWidth="1"/>
    <col min="2" max="2" width="2.8515625" style="27" customWidth="1"/>
    <col min="3" max="7" width="9.140625" style="27" customWidth="1"/>
    <col min="8" max="8" width="10.7109375" style="27" customWidth="1"/>
    <col min="9" max="9" width="1.8515625" style="27" customWidth="1"/>
    <col min="10" max="10" width="10.57421875" style="27" customWidth="1"/>
    <col min="11" max="11" width="1.8515625" style="27" customWidth="1"/>
    <col min="12" max="12" width="11.28125" style="27" customWidth="1"/>
    <col min="13" max="13" width="7.57421875" style="27" customWidth="1"/>
    <col min="14" max="16384" width="9.140625" style="27" customWidth="1"/>
  </cols>
  <sheetData>
    <row r="1" spans="1:12" ht="12.75">
      <c r="A1" s="26" t="s">
        <v>1062</v>
      </c>
      <c r="L1" s="214"/>
    </row>
    <row r="2" spans="1:12" ht="12.75">
      <c r="A2" s="27" t="s">
        <v>1064</v>
      </c>
      <c r="L2" s="264"/>
    </row>
    <row r="3" spans="1:12" ht="12">
      <c r="A3" s="27" t="s">
        <v>1065</v>
      </c>
      <c r="H3" s="67"/>
      <c r="L3" s="332" t="s">
        <v>233</v>
      </c>
    </row>
    <row r="5" ht="12">
      <c r="A5" s="26" t="s">
        <v>937</v>
      </c>
    </row>
    <row r="6" ht="12">
      <c r="A6" s="28"/>
    </row>
    <row r="7" spans="1:3" ht="12">
      <c r="A7" s="30" t="s">
        <v>67</v>
      </c>
      <c r="C7" s="27" t="s">
        <v>68</v>
      </c>
    </row>
    <row r="8" spans="1:3" ht="12">
      <c r="A8" s="29"/>
      <c r="C8" s="27" t="s">
        <v>482</v>
      </c>
    </row>
    <row r="9" spans="1:3" ht="12">
      <c r="A9" s="29"/>
      <c r="C9" s="27" t="s">
        <v>234</v>
      </c>
    </row>
    <row r="10" ht="12">
      <c r="A10" s="29"/>
    </row>
    <row r="11" spans="1:3" ht="12">
      <c r="A11" s="30" t="s">
        <v>69</v>
      </c>
      <c r="B11" s="27" t="s">
        <v>62</v>
      </c>
      <c r="C11" s="27" t="s">
        <v>72</v>
      </c>
    </row>
    <row r="12" spans="1:3" ht="12">
      <c r="A12" s="29"/>
      <c r="C12" s="27" t="s">
        <v>235</v>
      </c>
    </row>
    <row r="13" ht="12">
      <c r="A13" s="29"/>
    </row>
    <row r="14" spans="1:3" ht="12">
      <c r="A14" s="30" t="s">
        <v>70</v>
      </c>
      <c r="C14" s="27" t="s">
        <v>71</v>
      </c>
    </row>
    <row r="15" spans="1:3" ht="12">
      <c r="A15" s="29"/>
      <c r="C15" s="27" t="s">
        <v>236</v>
      </c>
    </row>
    <row r="16" ht="12">
      <c r="A16" s="29"/>
    </row>
    <row r="17" spans="1:12" ht="12">
      <c r="A17" s="30" t="s">
        <v>73</v>
      </c>
      <c r="C17" s="27" t="s">
        <v>7</v>
      </c>
      <c r="H17" s="102"/>
      <c r="I17" s="102"/>
      <c r="J17" s="102"/>
      <c r="K17" s="102"/>
      <c r="L17" s="102"/>
    </row>
    <row r="18" spans="1:12" ht="12">
      <c r="A18" s="30"/>
      <c r="H18" s="102" t="s">
        <v>478</v>
      </c>
      <c r="I18" s="102"/>
      <c r="J18" s="102" t="s">
        <v>478</v>
      </c>
      <c r="K18" s="102"/>
      <c r="L18" s="102"/>
    </row>
    <row r="19" spans="1:12" ht="12">
      <c r="A19" s="30"/>
      <c r="H19" s="102" t="s">
        <v>480</v>
      </c>
      <c r="I19" s="102"/>
      <c r="J19" s="102" t="s">
        <v>479</v>
      </c>
      <c r="K19" s="102"/>
      <c r="L19" s="102"/>
    </row>
    <row r="20" spans="1:12" ht="12">
      <c r="A20" s="30"/>
      <c r="H20" s="112" t="s">
        <v>932</v>
      </c>
      <c r="I20" s="102"/>
      <c r="J20" s="112" t="s">
        <v>932</v>
      </c>
      <c r="K20" s="102"/>
      <c r="L20" s="112"/>
    </row>
    <row r="21" spans="1:12" ht="12">
      <c r="A21" s="30"/>
      <c r="H21" s="103" t="s">
        <v>59</v>
      </c>
      <c r="I21" s="102"/>
      <c r="J21" s="103" t="s">
        <v>59</v>
      </c>
      <c r="K21" s="102"/>
      <c r="L21" s="103"/>
    </row>
    <row r="22" spans="1:10" ht="12">
      <c r="A22" s="30"/>
      <c r="J22" s="79"/>
    </row>
    <row r="23" spans="1:12" ht="12.75">
      <c r="A23" s="30"/>
      <c r="C23" s="27" t="s">
        <v>651</v>
      </c>
      <c r="H23" s="75">
        <f>'notes-w'!L13</f>
        <v>1942</v>
      </c>
      <c r="J23" s="100">
        <f>'notes-w'!L22</f>
        <v>3028</v>
      </c>
      <c r="L23"/>
    </row>
    <row r="24" spans="1:12" ht="12.75">
      <c r="A24" s="30"/>
      <c r="C24" s="27" t="s">
        <v>481</v>
      </c>
      <c r="H24" s="78">
        <f>'notes-w'!L14</f>
        <v>-48</v>
      </c>
      <c r="J24" s="116">
        <f>'notes-w'!L23</f>
        <v>-48</v>
      </c>
      <c r="L24"/>
    </row>
    <row r="25" spans="1:12" ht="12.75">
      <c r="A25" s="30"/>
      <c r="H25" s="75">
        <f>SUM(H23:H24)</f>
        <v>1894</v>
      </c>
      <c r="J25" s="100">
        <f>SUM(J23:J24)</f>
        <v>2980</v>
      </c>
      <c r="L25"/>
    </row>
    <row r="26" spans="1:12" ht="12.75">
      <c r="A26" s="30"/>
      <c r="C26" s="27" t="s">
        <v>223</v>
      </c>
      <c r="H26" s="75">
        <f>'[3]notes-w'!L15</f>
        <v>0</v>
      </c>
      <c r="J26" s="100">
        <f>'[3]notes-w'!L24</f>
        <v>0</v>
      </c>
      <c r="L26"/>
    </row>
    <row r="27" spans="1:12" ht="13.5" thickBot="1">
      <c r="A27" s="30"/>
      <c r="H27" s="76">
        <f>SUM(H25:H26)</f>
        <v>1894</v>
      </c>
      <c r="J27" s="95">
        <f>SUM(J25:J26)</f>
        <v>2980</v>
      </c>
      <c r="L27"/>
    </row>
    <row r="28" spans="1:12" ht="13.5" thickTop="1">
      <c r="A28" s="30"/>
      <c r="H28" s="77"/>
      <c r="J28" s="311"/>
      <c r="L28"/>
    </row>
    <row r="29" spans="1:12" ht="12.75">
      <c r="A29" s="30"/>
      <c r="C29" s="27" t="s">
        <v>237</v>
      </c>
      <c r="H29" s="77"/>
      <c r="J29" s="311"/>
      <c r="L29"/>
    </row>
    <row r="30" spans="1:12" ht="12.75">
      <c r="A30" s="30"/>
      <c r="C30" s="27" t="s">
        <v>238</v>
      </c>
      <c r="H30" s="77"/>
      <c r="J30" s="311"/>
      <c r="L30"/>
    </row>
    <row r="31" spans="1:12" ht="12.75">
      <c r="A31" s="30"/>
      <c r="H31" s="77"/>
      <c r="J31" s="311"/>
      <c r="L31"/>
    </row>
    <row r="32" spans="1:3" ht="12">
      <c r="A32" s="30" t="s">
        <v>76</v>
      </c>
      <c r="C32" s="27" t="s">
        <v>895</v>
      </c>
    </row>
    <row r="33" spans="1:3" ht="12">
      <c r="A33" s="29"/>
      <c r="C33" s="27" t="s">
        <v>896</v>
      </c>
    </row>
    <row r="34" spans="1:3" ht="12">
      <c r="A34" s="29"/>
      <c r="C34" s="27" t="s">
        <v>239</v>
      </c>
    </row>
    <row r="35" spans="1:11" ht="12">
      <c r="A35" s="29"/>
      <c r="H35" s="102"/>
      <c r="I35" s="102"/>
      <c r="J35" s="102"/>
      <c r="K35" s="102"/>
    </row>
    <row r="36" spans="1:3" ht="12">
      <c r="A36" s="30" t="s">
        <v>77</v>
      </c>
      <c r="C36" s="27" t="s">
        <v>79</v>
      </c>
    </row>
    <row r="37" spans="1:12" ht="12">
      <c r="A37" s="29"/>
      <c r="C37" s="27" t="s">
        <v>240</v>
      </c>
      <c r="J37" s="29"/>
      <c r="L37" s="29"/>
    </row>
    <row r="38" spans="1:12" ht="12">
      <c r="A38" s="29"/>
      <c r="J38" s="29"/>
      <c r="L38" s="29"/>
    </row>
    <row r="39" spans="1:12" ht="12.75">
      <c r="A39" s="29"/>
      <c r="C39" s="27" t="s">
        <v>1012</v>
      </c>
      <c r="J39" s="75"/>
      <c r="K39" s="75"/>
      <c r="L39"/>
    </row>
    <row r="40" spans="1:12" ht="12.75">
      <c r="A40" s="29"/>
      <c r="J40" s="102" t="s">
        <v>59</v>
      </c>
      <c r="K40" s="75"/>
      <c r="L40"/>
    </row>
    <row r="41" spans="1:12" ht="12.75">
      <c r="A41" s="29"/>
      <c r="J41" s="75"/>
      <c r="K41" s="75"/>
      <c r="L41"/>
    </row>
    <row r="42" spans="1:12" ht="12.75">
      <c r="A42" s="29"/>
      <c r="G42" s="27" t="s">
        <v>573</v>
      </c>
      <c r="J42" s="75">
        <v>4623</v>
      </c>
      <c r="K42" s="75"/>
      <c r="L42"/>
    </row>
    <row r="43" spans="1:12" ht="12.75">
      <c r="A43" s="29"/>
      <c r="J43" s="75"/>
      <c r="K43" s="75"/>
      <c r="L43"/>
    </row>
    <row r="44" spans="1:12" ht="12.75">
      <c r="A44" s="29"/>
      <c r="G44" s="27" t="s">
        <v>574</v>
      </c>
      <c r="J44" s="75">
        <v>4623</v>
      </c>
      <c r="K44" s="75"/>
      <c r="L44"/>
    </row>
    <row r="45" spans="1:12" ht="12.75">
      <c r="A45" s="29"/>
      <c r="J45" s="75"/>
      <c r="K45" s="75"/>
      <c r="L45"/>
    </row>
    <row r="46" spans="1:12" ht="12.75">
      <c r="A46" s="29"/>
      <c r="G46" s="27" t="s">
        <v>575</v>
      </c>
      <c r="J46" s="168">
        <f>1849*2.18</f>
        <v>4030.82</v>
      </c>
      <c r="K46" s="75"/>
      <c r="L46"/>
    </row>
    <row r="47" spans="1:12" ht="12.75">
      <c r="A47" s="29"/>
      <c r="J47" s="168"/>
      <c r="K47" s="75"/>
      <c r="L47" s="214"/>
    </row>
    <row r="48" spans="1:3" ht="12">
      <c r="A48" s="30" t="s">
        <v>78</v>
      </c>
      <c r="C48" s="27" t="s">
        <v>897</v>
      </c>
    </row>
    <row r="49" spans="1:3" ht="12">
      <c r="A49" s="29"/>
      <c r="C49" s="27" t="s">
        <v>241</v>
      </c>
    </row>
    <row r="50" spans="1:3" ht="12">
      <c r="A50" s="29"/>
      <c r="C50" s="27" t="s">
        <v>431</v>
      </c>
    </row>
    <row r="51" spans="1:3" ht="12">
      <c r="A51" s="29"/>
      <c r="C51" s="27" t="s">
        <v>675</v>
      </c>
    </row>
    <row r="52" ht="12">
      <c r="A52" s="29"/>
    </row>
    <row r="53" spans="1:3" ht="12">
      <c r="A53" s="30" t="s">
        <v>80</v>
      </c>
      <c r="C53" s="27" t="s">
        <v>82</v>
      </c>
    </row>
    <row r="54" spans="1:3" ht="12">
      <c r="A54" s="29"/>
      <c r="C54" s="27" t="s">
        <v>243</v>
      </c>
    </row>
    <row r="55" spans="1:3" ht="12">
      <c r="A55" s="29"/>
      <c r="C55" s="27" t="s">
        <v>244</v>
      </c>
    </row>
    <row r="56" ht="12">
      <c r="A56" s="29"/>
    </row>
    <row r="57" spans="1:3" ht="12">
      <c r="A57" s="30" t="s">
        <v>81</v>
      </c>
      <c r="C57" s="27" t="s">
        <v>85</v>
      </c>
    </row>
    <row r="58" spans="1:3" ht="12">
      <c r="A58" s="30"/>
      <c r="C58" s="27" t="s">
        <v>245</v>
      </c>
    </row>
    <row r="59" spans="1:3" ht="12">
      <c r="A59" s="30"/>
      <c r="C59" s="27" t="s">
        <v>246</v>
      </c>
    </row>
    <row r="60" spans="1:12" ht="12.75">
      <c r="A60" s="30"/>
      <c r="L60" s="214"/>
    </row>
    <row r="61" spans="1:12" ht="12.75">
      <c r="A61" s="30"/>
      <c r="L61" s="214"/>
    </row>
    <row r="62" spans="1:12" ht="12.75">
      <c r="A62" s="30"/>
      <c r="L62" s="214"/>
    </row>
    <row r="63" spans="1:12" ht="12.75">
      <c r="A63" s="30"/>
      <c r="L63" s="214"/>
    </row>
    <row r="64" spans="1:12" ht="12">
      <c r="A64" s="30" t="s">
        <v>83</v>
      </c>
      <c r="C64" s="27" t="s">
        <v>87</v>
      </c>
      <c r="L64" s="332" t="s">
        <v>242</v>
      </c>
    </row>
    <row r="65" spans="1:12" ht="12">
      <c r="A65" s="30"/>
      <c r="J65" s="102" t="s">
        <v>401</v>
      </c>
      <c r="K65" s="102"/>
      <c r="L65" s="102" t="s">
        <v>401</v>
      </c>
    </row>
    <row r="66" spans="1:12" ht="12">
      <c r="A66" s="30"/>
      <c r="J66" s="112" t="s">
        <v>932</v>
      </c>
      <c r="K66" s="102"/>
      <c r="L66" s="112" t="s">
        <v>1063</v>
      </c>
    </row>
    <row r="67" spans="1:12" ht="12">
      <c r="A67" s="29"/>
      <c r="B67" s="27" t="s">
        <v>396</v>
      </c>
      <c r="C67" s="66" t="s">
        <v>63</v>
      </c>
      <c r="J67" s="102" t="s">
        <v>59</v>
      </c>
      <c r="K67" s="102"/>
      <c r="L67" s="102" t="s">
        <v>59</v>
      </c>
    </row>
    <row r="68" ht="12">
      <c r="A68" s="30"/>
    </row>
    <row r="69" spans="1:3" ht="12">
      <c r="A69" s="30"/>
      <c r="C69" s="27" t="s">
        <v>397</v>
      </c>
    </row>
    <row r="70" spans="1:12" ht="12">
      <c r="A70" s="30"/>
      <c r="D70" s="27" t="s">
        <v>630</v>
      </c>
      <c r="J70" s="400">
        <f>'notes-w'!L32</f>
        <v>384</v>
      </c>
      <c r="K70" s="400"/>
      <c r="L70" s="403">
        <v>626</v>
      </c>
    </row>
    <row r="71" spans="1:12" ht="12">
      <c r="A71" s="30"/>
      <c r="D71" s="27" t="s">
        <v>902</v>
      </c>
      <c r="J71" s="400"/>
      <c r="K71" s="400"/>
      <c r="L71" s="403"/>
    </row>
    <row r="72" spans="1:12" ht="12">
      <c r="A72" s="30"/>
      <c r="D72" s="27" t="s">
        <v>398</v>
      </c>
      <c r="J72" s="403">
        <f>'notes-w'!L33</f>
        <v>5528</v>
      </c>
      <c r="K72" s="400"/>
      <c r="L72" s="403">
        <v>3292</v>
      </c>
    </row>
    <row r="73" spans="1:12" ht="12">
      <c r="A73" s="30"/>
      <c r="D73" s="27" t="s">
        <v>399</v>
      </c>
      <c r="J73" s="399">
        <f>'notes-w'!L36</f>
        <v>0</v>
      </c>
      <c r="K73" s="400"/>
      <c r="L73" s="399">
        <v>0</v>
      </c>
    </row>
    <row r="74" spans="1:12" ht="12">
      <c r="A74" s="30"/>
      <c r="D74" s="27" t="s">
        <v>842</v>
      </c>
      <c r="J74" s="399">
        <f>'notes-w'!L34</f>
        <v>4000</v>
      </c>
      <c r="K74" s="400"/>
      <c r="L74" s="399">
        <v>0</v>
      </c>
    </row>
    <row r="75" spans="1:12" ht="12">
      <c r="A75" s="30"/>
      <c r="D75" s="27" t="s">
        <v>1000</v>
      </c>
      <c r="J75" s="404">
        <f>'notes-w'!L44</f>
        <v>1803</v>
      </c>
      <c r="K75" s="400"/>
      <c r="L75" s="404">
        <v>3303</v>
      </c>
    </row>
    <row r="76" spans="1:12" ht="12">
      <c r="A76" s="30"/>
      <c r="J76" s="399">
        <f>SUM(J70:J75)</f>
        <v>11715</v>
      </c>
      <c r="K76" s="405"/>
      <c r="L76" s="399">
        <f>SUM(L70:L75)</f>
        <v>7221</v>
      </c>
    </row>
    <row r="77" spans="1:12" ht="12">
      <c r="A77" s="30"/>
      <c r="C77" s="27" t="s">
        <v>400</v>
      </c>
      <c r="J77" s="403"/>
      <c r="K77" s="400"/>
      <c r="L77" s="403"/>
    </row>
    <row r="78" spans="1:12" ht="12">
      <c r="A78" s="30"/>
      <c r="D78" s="27" t="s">
        <v>398</v>
      </c>
      <c r="J78" s="403">
        <f>'notes-w'!L39</f>
        <v>1998</v>
      </c>
      <c r="K78" s="400"/>
      <c r="L78" s="403">
        <v>3</v>
      </c>
    </row>
    <row r="79" spans="1:12" ht="12">
      <c r="A79" s="30"/>
      <c r="D79" s="27" t="s">
        <v>648</v>
      </c>
      <c r="J79" s="403">
        <f>'notes-w'!L40</f>
        <v>100172</v>
      </c>
      <c r="K79" s="400"/>
      <c r="L79" s="403">
        <v>100345</v>
      </c>
    </row>
    <row r="80" spans="1:12" ht="12.75" thickBot="1">
      <c r="A80" s="30"/>
      <c r="J80" s="406">
        <f>SUM(J76:J79)</f>
        <v>113885</v>
      </c>
      <c r="K80" s="400"/>
      <c r="L80" s="406">
        <f>SUM(L76:L79)</f>
        <v>107569</v>
      </c>
    </row>
    <row r="81" spans="1:12" ht="12.75" thickTop="1">
      <c r="A81" s="30"/>
      <c r="B81" s="27" t="s">
        <v>402</v>
      </c>
      <c r="C81" s="66" t="s">
        <v>403</v>
      </c>
      <c r="J81" s="399"/>
      <c r="K81" s="400"/>
      <c r="L81" s="402"/>
    </row>
    <row r="82" spans="1:12" ht="12">
      <c r="A82" s="30"/>
      <c r="C82" s="66"/>
      <c r="J82" s="399"/>
      <c r="K82" s="400"/>
      <c r="L82" s="402"/>
    </row>
    <row r="83" spans="1:12" ht="12">
      <c r="A83" s="30"/>
      <c r="C83" s="27" t="s">
        <v>901</v>
      </c>
      <c r="J83" s="399">
        <f>'notes-w'!L69</f>
        <v>7344</v>
      </c>
      <c r="K83" s="400"/>
      <c r="L83" s="403">
        <v>8995</v>
      </c>
    </row>
    <row r="84" spans="1:12" ht="12">
      <c r="A84" s="30"/>
      <c r="J84" s="399"/>
      <c r="K84" s="400"/>
      <c r="L84" s="403"/>
    </row>
    <row r="85" spans="1:12" ht="12">
      <c r="A85" s="29"/>
      <c r="C85" s="67" t="s">
        <v>407</v>
      </c>
      <c r="D85" s="27" t="s">
        <v>406</v>
      </c>
      <c r="J85" s="403"/>
      <c r="K85" s="400"/>
      <c r="L85" s="403"/>
    </row>
    <row r="86" spans="1:12" ht="12">
      <c r="A86" s="29"/>
      <c r="C86" s="67"/>
      <c r="D86" s="27" t="s">
        <v>1001</v>
      </c>
      <c r="J86" s="403">
        <f>'notes-w'!L71</f>
        <v>-1803</v>
      </c>
      <c r="K86" s="400"/>
      <c r="L86" s="403">
        <v>-3303</v>
      </c>
    </row>
    <row r="87" spans="1:12" ht="12.75" thickBot="1">
      <c r="A87" s="29"/>
      <c r="C87" s="67"/>
      <c r="J87" s="406">
        <f>SUM(J83:J86)</f>
        <v>5541</v>
      </c>
      <c r="K87" s="400"/>
      <c r="L87" s="406">
        <f>SUM(L83:L86)</f>
        <v>5692</v>
      </c>
    </row>
    <row r="88" spans="1:14" ht="12.75" thickTop="1">
      <c r="A88" s="29"/>
      <c r="K88" s="400"/>
      <c r="N88" s="517"/>
    </row>
    <row r="89" spans="1:12" ht="12">
      <c r="A89" s="29"/>
      <c r="C89" s="27" t="s">
        <v>867</v>
      </c>
      <c r="J89" s="75">
        <f>'notes-w'!L52</f>
        <v>1226</v>
      </c>
      <c r="K89" s="403"/>
      <c r="L89" s="75">
        <v>1480</v>
      </c>
    </row>
    <row r="90" spans="1:12" ht="12">
      <c r="A90" s="29"/>
      <c r="J90" s="399"/>
      <c r="K90" s="403"/>
      <c r="L90" s="399"/>
    </row>
    <row r="91" spans="1:12" ht="12">
      <c r="A91" s="29"/>
      <c r="C91" s="67" t="s">
        <v>407</v>
      </c>
      <c r="D91" s="27" t="s">
        <v>406</v>
      </c>
      <c r="J91" s="399"/>
      <c r="K91" s="400"/>
      <c r="L91" s="399"/>
    </row>
    <row r="92" spans="1:12" ht="12">
      <c r="A92" s="29"/>
      <c r="C92" s="67"/>
      <c r="D92" s="27" t="s">
        <v>1001</v>
      </c>
      <c r="J92" s="399">
        <f>-'notes-w'!L32</f>
        <v>-384</v>
      </c>
      <c r="K92" s="400"/>
      <c r="L92" s="399">
        <v>-626</v>
      </c>
    </row>
    <row r="93" spans="1:12" ht="12.75" thickBot="1">
      <c r="A93" s="29"/>
      <c r="J93" s="76">
        <f>SUM(J89:J92)</f>
        <v>842</v>
      </c>
      <c r="L93" s="331">
        <f>SUM(L89:L92)</f>
        <v>854</v>
      </c>
    </row>
    <row r="94" spans="1:12" ht="12.75" thickTop="1">
      <c r="A94" s="29"/>
      <c r="J94" s="77"/>
      <c r="L94" s="265"/>
    </row>
    <row r="95" spans="1:12" ht="12">
      <c r="A95" s="29"/>
      <c r="B95" s="27" t="s">
        <v>500</v>
      </c>
      <c r="C95" s="66" t="s">
        <v>898</v>
      </c>
      <c r="J95" s="77"/>
      <c r="L95" s="265"/>
    </row>
    <row r="96" spans="1:12" ht="12">
      <c r="A96" s="29"/>
      <c r="C96" s="66"/>
      <c r="J96" s="77"/>
      <c r="L96" s="265"/>
    </row>
    <row r="97" spans="1:12" ht="12">
      <c r="A97" s="29"/>
      <c r="C97" s="27" t="s">
        <v>899</v>
      </c>
      <c r="J97" s="77"/>
      <c r="L97" s="265"/>
    </row>
    <row r="98" spans="1:10" ht="12">
      <c r="A98" s="29"/>
      <c r="J98" s="77"/>
    </row>
    <row r="99" spans="1:12" ht="12">
      <c r="A99" s="29"/>
      <c r="J99" s="77"/>
      <c r="L99" s="332"/>
    </row>
    <row r="100" spans="1:12" ht="12">
      <c r="A100" s="30" t="s">
        <v>84</v>
      </c>
      <c r="C100" s="27" t="s">
        <v>483</v>
      </c>
      <c r="K100" s="26"/>
      <c r="L100" s="26"/>
    </row>
    <row r="101" spans="1:12" ht="12">
      <c r="A101" s="30"/>
      <c r="J101" s="102" t="s">
        <v>401</v>
      </c>
      <c r="K101" s="26"/>
      <c r="L101" s="102" t="s">
        <v>401</v>
      </c>
    </row>
    <row r="102" spans="1:12" ht="12.75" customHeight="1">
      <c r="A102" s="30"/>
      <c r="H102" s="606" t="s">
        <v>577</v>
      </c>
      <c r="I102" s="606"/>
      <c r="J102" s="606"/>
      <c r="K102" s="26"/>
      <c r="L102" s="112" t="s">
        <v>1063</v>
      </c>
    </row>
    <row r="103" spans="1:12" ht="12">
      <c r="A103" s="30"/>
      <c r="H103" s="102"/>
      <c r="I103" s="26"/>
      <c r="J103" s="102" t="s">
        <v>59</v>
      </c>
      <c r="K103" s="26"/>
      <c r="L103" s="102" t="s">
        <v>59</v>
      </c>
    </row>
    <row r="104" spans="1:3" ht="12">
      <c r="A104" s="30"/>
      <c r="C104" s="27" t="s">
        <v>522</v>
      </c>
    </row>
    <row r="105" spans="1:12" ht="12">
      <c r="A105" s="30"/>
      <c r="C105" s="27" t="s">
        <v>576</v>
      </c>
      <c r="H105" s="101"/>
      <c r="I105" s="99"/>
      <c r="J105" s="356">
        <f>'notes-w'!L75</f>
        <v>8733</v>
      </c>
      <c r="K105" s="99"/>
      <c r="L105" s="101">
        <v>5017</v>
      </c>
    </row>
    <row r="106" spans="1:12" ht="12">
      <c r="A106" s="30"/>
      <c r="H106" s="101"/>
      <c r="I106" s="99"/>
      <c r="J106" s="356"/>
      <c r="K106" s="99"/>
      <c r="L106" s="101"/>
    </row>
    <row r="107" spans="1:12" ht="12">
      <c r="A107" s="30"/>
      <c r="B107" s="332" t="s">
        <v>437</v>
      </c>
      <c r="C107" s="27" t="s">
        <v>522</v>
      </c>
      <c r="H107" s="101"/>
      <c r="I107" s="99"/>
      <c r="J107" s="356"/>
      <c r="K107" s="99"/>
      <c r="L107" s="101"/>
    </row>
    <row r="108" spans="1:12" ht="12">
      <c r="A108" s="30"/>
      <c r="C108" s="27" t="s">
        <v>589</v>
      </c>
      <c r="H108" s="101"/>
      <c r="I108" s="99"/>
      <c r="J108" s="356"/>
      <c r="K108" s="99"/>
      <c r="L108" s="101"/>
    </row>
    <row r="109" spans="1:12" ht="12">
      <c r="A109" s="30"/>
      <c r="C109" s="27" t="s">
        <v>670</v>
      </c>
      <c r="H109" s="101"/>
      <c r="I109" s="99"/>
      <c r="J109" s="356">
        <f>'notes-w'!L77</f>
        <v>13721</v>
      </c>
      <c r="K109" s="99"/>
      <c r="L109" s="101">
        <v>15536</v>
      </c>
    </row>
    <row r="110" spans="1:12" ht="12">
      <c r="A110" s="30"/>
      <c r="H110" s="77"/>
      <c r="J110" s="399"/>
      <c r="L110" s="77"/>
    </row>
    <row r="111" spans="1:12" ht="12">
      <c r="A111" s="30"/>
      <c r="B111" s="27" t="s">
        <v>437</v>
      </c>
      <c r="C111" s="27" t="s">
        <v>559</v>
      </c>
      <c r="H111" s="77"/>
      <c r="J111" s="399"/>
      <c r="L111" s="77"/>
    </row>
    <row r="112" spans="1:8" ht="12">
      <c r="A112" s="30"/>
      <c r="C112" s="27" t="s">
        <v>196</v>
      </c>
      <c r="H112" s="101"/>
    </row>
    <row r="113" spans="1:12" ht="12">
      <c r="A113" s="30"/>
      <c r="C113" s="27" t="s">
        <v>669</v>
      </c>
      <c r="H113" s="101"/>
      <c r="J113" s="356">
        <f>'notes-w'!L79</f>
        <v>613</v>
      </c>
      <c r="L113" s="101">
        <v>874</v>
      </c>
    </row>
    <row r="114" spans="1:12" ht="12">
      <c r="A114" s="30"/>
      <c r="H114" s="101"/>
      <c r="J114" s="356"/>
      <c r="L114" s="101"/>
    </row>
    <row r="115" spans="1:12" ht="12">
      <c r="A115" s="30"/>
      <c r="C115" s="27" t="s">
        <v>428</v>
      </c>
      <c r="H115" s="101"/>
      <c r="J115" s="356"/>
      <c r="L115" s="101"/>
    </row>
    <row r="116" spans="1:12" ht="12.75" thickBot="1">
      <c r="A116" s="30"/>
      <c r="C116" s="27" t="s">
        <v>430</v>
      </c>
      <c r="H116" s="101"/>
      <c r="J116" s="408">
        <f>'notes-w'!L80</f>
        <v>3071</v>
      </c>
      <c r="L116" s="113">
        <v>3312</v>
      </c>
    </row>
    <row r="117" spans="1:12" ht="12.75" thickTop="1">
      <c r="A117" s="30"/>
      <c r="C117" s="27" t="s">
        <v>429</v>
      </c>
      <c r="H117" s="101"/>
      <c r="J117" s="356"/>
      <c r="L117" s="101"/>
    </row>
    <row r="118" spans="1:12" ht="12">
      <c r="A118" s="30"/>
      <c r="B118" s="332" t="s">
        <v>437</v>
      </c>
      <c r="C118" s="27" t="s">
        <v>197</v>
      </c>
      <c r="H118" s="101"/>
      <c r="J118" s="356"/>
      <c r="L118" s="101"/>
    </row>
    <row r="119" spans="1:12" ht="12">
      <c r="A119" s="30"/>
      <c r="C119" s="27" t="s">
        <v>590</v>
      </c>
      <c r="H119" s="101"/>
      <c r="J119" s="356"/>
      <c r="L119" s="101"/>
    </row>
    <row r="120" spans="1:12" ht="12">
      <c r="A120" s="30"/>
      <c r="J120" s="77"/>
      <c r="L120" s="77"/>
    </row>
    <row r="121" spans="1:12" ht="12">
      <c r="A121" s="30"/>
      <c r="B121" s="27" t="s">
        <v>248</v>
      </c>
      <c r="C121" s="27" t="s">
        <v>249</v>
      </c>
      <c r="J121" s="77"/>
      <c r="L121" s="77"/>
    </row>
    <row r="122" spans="1:12" ht="12">
      <c r="A122" s="30"/>
      <c r="C122" s="27" t="s">
        <v>250</v>
      </c>
      <c r="J122" s="77"/>
      <c r="L122" s="77"/>
    </row>
    <row r="123" spans="1:12" ht="12">
      <c r="A123" s="30"/>
      <c r="J123" s="77"/>
      <c r="L123" s="77"/>
    </row>
    <row r="124" spans="1:12" ht="12">
      <c r="A124" s="30"/>
      <c r="J124" s="77"/>
      <c r="L124" s="77"/>
    </row>
    <row r="125" spans="1:12" ht="12">
      <c r="A125" s="30"/>
      <c r="J125" s="77"/>
      <c r="L125" s="77"/>
    </row>
    <row r="126" spans="1:12" ht="12">
      <c r="A126" s="30"/>
      <c r="J126" s="77"/>
      <c r="L126" s="77"/>
    </row>
    <row r="127" spans="1:12" ht="12">
      <c r="A127" s="30"/>
      <c r="J127" s="77"/>
      <c r="L127" s="77"/>
    </row>
    <row r="128" spans="1:12" ht="12">
      <c r="A128" s="30"/>
      <c r="J128" s="77"/>
      <c r="L128" s="332" t="s">
        <v>247</v>
      </c>
    </row>
    <row r="129" spans="1:12" ht="12">
      <c r="A129" s="30"/>
      <c r="C129" s="27" t="s">
        <v>631</v>
      </c>
      <c r="J129" s="77"/>
      <c r="L129" s="77"/>
    </row>
    <row r="130" spans="1:12" ht="12">
      <c r="A130" s="30"/>
      <c r="C130" s="27" t="s">
        <v>632</v>
      </c>
      <c r="J130" s="77"/>
      <c r="L130" s="77"/>
    </row>
    <row r="131" spans="1:12" ht="12">
      <c r="A131" s="30"/>
      <c r="C131" s="27" t="s">
        <v>633</v>
      </c>
      <c r="J131" s="77"/>
      <c r="L131" s="77"/>
    </row>
    <row r="132" spans="1:12" ht="12">
      <c r="A132" s="30"/>
      <c r="C132" s="27" t="s">
        <v>634</v>
      </c>
      <c r="J132" s="77"/>
      <c r="L132" s="77"/>
    </row>
    <row r="133" spans="1:12" ht="12">
      <c r="A133" s="30"/>
      <c r="C133" s="27" t="s">
        <v>635</v>
      </c>
      <c r="J133" s="77"/>
      <c r="L133" s="77"/>
    </row>
    <row r="134" spans="1:12" ht="12">
      <c r="A134" s="30"/>
      <c r="C134" s="27" t="s">
        <v>636</v>
      </c>
      <c r="J134" s="77"/>
      <c r="L134" s="77"/>
    </row>
    <row r="135" spans="1:12" ht="12">
      <c r="A135" s="30"/>
      <c r="C135" s="27" t="s">
        <v>637</v>
      </c>
      <c r="J135" s="77"/>
      <c r="L135" s="77"/>
    </row>
    <row r="136" spans="1:12" ht="12">
      <c r="A136" s="30"/>
      <c r="C136" s="27" t="s">
        <v>638</v>
      </c>
      <c r="J136" s="77"/>
      <c r="L136" s="77"/>
    </row>
    <row r="137" ht="9" customHeight="1">
      <c r="A137" s="30"/>
    </row>
    <row r="138" spans="1:3" ht="12">
      <c r="A138" s="30" t="s">
        <v>86</v>
      </c>
      <c r="C138" s="27" t="s">
        <v>90</v>
      </c>
    </row>
    <row r="139" spans="1:3" ht="12">
      <c r="A139" s="29"/>
      <c r="C139" s="27" t="s">
        <v>744</v>
      </c>
    </row>
    <row r="140" ht="10.5" customHeight="1">
      <c r="A140" s="29"/>
    </row>
    <row r="141" spans="1:3" ht="12">
      <c r="A141" s="30" t="s">
        <v>88</v>
      </c>
      <c r="C141" s="27" t="s">
        <v>92</v>
      </c>
    </row>
    <row r="142" spans="1:3" ht="12">
      <c r="A142" s="30"/>
      <c r="C142" s="27" t="s">
        <v>639</v>
      </c>
    </row>
    <row r="143" ht="9" customHeight="1">
      <c r="A143" s="30"/>
    </row>
    <row r="144" spans="1:3" ht="12">
      <c r="A144" s="30" t="s">
        <v>89</v>
      </c>
      <c r="C144" s="27" t="s">
        <v>94</v>
      </c>
    </row>
    <row r="145" spans="1:12" ht="12">
      <c r="A145" s="29"/>
      <c r="C145" s="27" t="s">
        <v>251</v>
      </c>
      <c r="H145" s="29"/>
      <c r="I145" s="29"/>
      <c r="J145" s="29"/>
      <c r="K145" s="29"/>
      <c r="L145" s="29"/>
    </row>
    <row r="146" spans="1:12" ht="9.75" customHeight="1">
      <c r="A146" s="29"/>
      <c r="L146" s="332"/>
    </row>
    <row r="147" spans="1:14" ht="12">
      <c r="A147" s="169" t="s">
        <v>91</v>
      </c>
      <c r="C147" s="400" t="s">
        <v>1041</v>
      </c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</row>
    <row r="148" spans="1:14" ht="12">
      <c r="A148" s="30"/>
      <c r="C148" s="400" t="s">
        <v>676</v>
      </c>
      <c r="D148" s="400"/>
      <c r="E148" s="400"/>
      <c r="F148" s="400"/>
      <c r="G148" s="400"/>
      <c r="H148" s="400"/>
      <c r="I148" s="400"/>
      <c r="J148" s="400"/>
      <c r="K148" s="400"/>
      <c r="L148" s="400"/>
      <c r="M148" s="400"/>
      <c r="N148" s="400"/>
    </row>
    <row r="149" spans="1:14" ht="12">
      <c r="A149" s="30"/>
      <c r="C149" s="400" t="s">
        <v>456</v>
      </c>
      <c r="D149" s="400"/>
      <c r="E149" s="400"/>
      <c r="F149" s="400"/>
      <c r="G149" s="400"/>
      <c r="H149" s="400"/>
      <c r="I149" s="400"/>
      <c r="J149" s="400"/>
      <c r="K149" s="400"/>
      <c r="L149" s="400"/>
      <c r="M149" s="400"/>
      <c r="N149" s="400"/>
    </row>
    <row r="150" spans="1:14" ht="12">
      <c r="A150" s="30"/>
      <c r="C150" s="400" t="s">
        <v>457</v>
      </c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</row>
    <row r="151" spans="1:14" ht="12.75" customHeight="1">
      <c r="A151" s="30"/>
      <c r="C151" s="400" t="s">
        <v>458</v>
      </c>
      <c r="D151" s="400"/>
      <c r="E151" s="400"/>
      <c r="F151" s="400"/>
      <c r="G151" s="400"/>
      <c r="H151" s="400"/>
      <c r="I151" s="400"/>
      <c r="J151" s="400"/>
      <c r="K151" s="400"/>
      <c r="L151" s="400"/>
      <c r="M151" s="400"/>
      <c r="N151" s="400"/>
    </row>
    <row r="152" spans="1:14" ht="12.75" customHeight="1">
      <c r="A152" s="30"/>
      <c r="C152" s="400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</row>
    <row r="153" spans="1:14" ht="12">
      <c r="A153" s="169" t="s">
        <v>93</v>
      </c>
      <c r="C153" s="400" t="s">
        <v>434</v>
      </c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</row>
    <row r="154" spans="1:14" ht="12">
      <c r="A154" s="30"/>
      <c r="C154" s="400" t="s">
        <v>677</v>
      </c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</row>
    <row r="155" spans="1:14" ht="12">
      <c r="A155" s="30"/>
      <c r="C155" s="400" t="s">
        <v>679</v>
      </c>
      <c r="D155" s="400"/>
      <c r="E155" s="400"/>
      <c r="F155" s="400"/>
      <c r="G155" s="400"/>
      <c r="H155" s="400"/>
      <c r="I155" s="400"/>
      <c r="J155" s="400"/>
      <c r="K155" s="400"/>
      <c r="L155" s="400"/>
      <c r="M155" s="400"/>
      <c r="N155" s="400"/>
    </row>
    <row r="156" spans="1:14" ht="12">
      <c r="A156" s="30"/>
      <c r="C156" s="27" t="s">
        <v>678</v>
      </c>
      <c r="D156" s="400"/>
      <c r="E156" s="400"/>
      <c r="F156" s="400"/>
      <c r="G156" s="400"/>
      <c r="H156" s="400"/>
      <c r="I156" s="400"/>
      <c r="J156" s="400"/>
      <c r="K156" s="400"/>
      <c r="L156" s="400"/>
      <c r="M156" s="400"/>
      <c r="N156" s="400"/>
    </row>
    <row r="157" spans="1:14" ht="9.75" customHeight="1">
      <c r="A157" s="29"/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</row>
    <row r="158" spans="1:3" ht="12">
      <c r="A158" s="29"/>
      <c r="C158" s="27" t="s">
        <v>252</v>
      </c>
    </row>
    <row r="159" spans="1:3" ht="12">
      <c r="A159" s="29"/>
      <c r="C159" s="27" t="s">
        <v>253</v>
      </c>
    </row>
    <row r="160" ht="9.75" customHeight="1">
      <c r="A160" s="29"/>
    </row>
    <row r="161" spans="1:3" ht="12">
      <c r="A161" s="30" t="s">
        <v>386</v>
      </c>
      <c r="C161" s="27" t="s">
        <v>900</v>
      </c>
    </row>
    <row r="162" spans="1:3" ht="12">
      <c r="A162" s="29"/>
      <c r="C162" s="27" t="s">
        <v>904</v>
      </c>
    </row>
    <row r="163" spans="1:3" ht="12">
      <c r="A163" s="29"/>
      <c r="C163" s="27" t="s">
        <v>680</v>
      </c>
    </row>
    <row r="164" ht="12">
      <c r="A164" s="29"/>
    </row>
    <row r="165" spans="1:3" ht="12">
      <c r="A165" s="30" t="s">
        <v>387</v>
      </c>
      <c r="C165" s="27" t="s">
        <v>905</v>
      </c>
    </row>
    <row r="166" spans="1:3" ht="12">
      <c r="A166" s="30"/>
      <c r="C166" s="27" t="s">
        <v>258</v>
      </c>
    </row>
    <row r="167" spans="1:3" ht="12">
      <c r="A167" s="30"/>
      <c r="C167" s="27" t="s">
        <v>259</v>
      </c>
    </row>
    <row r="168" spans="1:3" ht="12">
      <c r="A168" s="30"/>
      <c r="C168" s="27" t="s">
        <v>260</v>
      </c>
    </row>
    <row r="169" ht="12">
      <c r="A169" s="30"/>
    </row>
    <row r="170" spans="1:3" ht="12">
      <c r="A170" s="30" t="s">
        <v>388</v>
      </c>
      <c r="C170" s="27" t="s">
        <v>389</v>
      </c>
    </row>
    <row r="171" spans="1:3" ht="12">
      <c r="A171" s="29"/>
      <c r="C171" s="27" t="s">
        <v>681</v>
      </c>
    </row>
    <row r="172" spans="1:3" ht="12">
      <c r="A172" s="29"/>
      <c r="C172" s="27" t="s">
        <v>261</v>
      </c>
    </row>
    <row r="173" ht="12">
      <c r="A173" s="29"/>
    </row>
    <row r="174" spans="1:3" ht="12">
      <c r="A174" s="30" t="s">
        <v>390</v>
      </c>
      <c r="C174" s="27" t="s">
        <v>391</v>
      </c>
    </row>
    <row r="175" spans="1:3" ht="12">
      <c r="A175" s="29"/>
      <c r="C175" s="27" t="s">
        <v>903</v>
      </c>
    </row>
    <row r="176" ht="12">
      <c r="A176" s="29"/>
    </row>
    <row r="177" spans="1:3" ht="12">
      <c r="A177" s="30" t="s">
        <v>392</v>
      </c>
      <c r="C177" s="27" t="s">
        <v>393</v>
      </c>
    </row>
    <row r="178" spans="1:3" ht="12">
      <c r="A178" s="30"/>
      <c r="C178" s="27" t="s">
        <v>262</v>
      </c>
    </row>
    <row r="179" ht="8.25" customHeight="1">
      <c r="A179" s="30"/>
    </row>
    <row r="180" spans="1:3" ht="12">
      <c r="A180" s="30" t="s">
        <v>820</v>
      </c>
      <c r="C180" s="27" t="s">
        <v>821</v>
      </c>
    </row>
    <row r="181" spans="1:3" ht="12">
      <c r="A181" s="30"/>
      <c r="C181" s="27" t="s">
        <v>263</v>
      </c>
    </row>
    <row r="182" spans="1:3" ht="12">
      <c r="A182" s="30"/>
      <c r="C182" s="27" t="s">
        <v>264</v>
      </c>
    </row>
    <row r="183" spans="1:3" ht="12">
      <c r="A183" s="29"/>
      <c r="C183" s="27" t="s">
        <v>265</v>
      </c>
    </row>
    <row r="184" ht="9" customHeight="1">
      <c r="A184" s="29"/>
    </row>
    <row r="185" ht="10.5" customHeight="1">
      <c r="A185" s="29"/>
    </row>
    <row r="186" ht="12">
      <c r="A186" s="82" t="s">
        <v>495</v>
      </c>
    </row>
    <row r="187" ht="9" customHeight="1">
      <c r="A187" s="29"/>
    </row>
    <row r="188" ht="12">
      <c r="A188" s="29"/>
    </row>
    <row r="189" ht="12">
      <c r="A189" s="29"/>
    </row>
    <row r="190" ht="12">
      <c r="A190" s="84" t="s">
        <v>497</v>
      </c>
    </row>
    <row r="191" ht="12">
      <c r="A191" s="82" t="s">
        <v>498</v>
      </c>
    </row>
    <row r="192" ht="9" customHeight="1">
      <c r="A192" s="82"/>
    </row>
    <row r="193" ht="11.25" customHeight="1">
      <c r="A193" s="82" t="s">
        <v>496</v>
      </c>
    </row>
    <row r="194" ht="12">
      <c r="A194" s="83" t="s">
        <v>560</v>
      </c>
    </row>
    <row r="195" ht="12">
      <c r="A195" s="82"/>
    </row>
    <row r="196" ht="12">
      <c r="A196" s="82"/>
    </row>
    <row r="197" ht="12">
      <c r="A197" s="82"/>
    </row>
    <row r="198" ht="12">
      <c r="A198" s="29"/>
    </row>
    <row r="199" ht="12">
      <c r="A199" s="29"/>
    </row>
    <row r="200" ht="12">
      <c r="A200" s="29"/>
    </row>
    <row r="201" ht="12">
      <c r="A201" s="29"/>
    </row>
    <row r="202" ht="12">
      <c r="A202" s="29"/>
    </row>
    <row r="203" ht="12">
      <c r="A203" s="29"/>
    </row>
    <row r="204" ht="12">
      <c r="A204" s="29"/>
    </row>
    <row r="205" ht="12">
      <c r="A205" s="29"/>
    </row>
    <row r="206" ht="12">
      <c r="A206" s="29"/>
    </row>
    <row r="207" ht="12">
      <c r="A207" s="29"/>
    </row>
    <row r="208" ht="12">
      <c r="A208" s="29"/>
    </row>
    <row r="209" ht="12">
      <c r="A209" s="29"/>
    </row>
    <row r="210" ht="12">
      <c r="A210" s="29"/>
    </row>
    <row r="211" ht="12">
      <c r="A211" s="29"/>
    </row>
    <row r="212" ht="12">
      <c r="A212" s="29"/>
    </row>
    <row r="213" ht="12">
      <c r="A213" s="29"/>
    </row>
    <row r="214" ht="12">
      <c r="A214" s="29"/>
    </row>
    <row r="215" ht="12">
      <c r="A215" s="29"/>
    </row>
    <row r="216" ht="12">
      <c r="A216" s="29"/>
    </row>
    <row r="217" ht="12">
      <c r="A217" s="29"/>
    </row>
    <row r="218" ht="12">
      <c r="A218" s="29"/>
    </row>
    <row r="219" ht="12">
      <c r="A219" s="29"/>
    </row>
    <row r="220" ht="12">
      <c r="A220" s="29"/>
    </row>
    <row r="221" ht="12">
      <c r="A221" s="29"/>
    </row>
    <row r="222" ht="12">
      <c r="A222" s="29"/>
    </row>
    <row r="223" ht="12">
      <c r="A223" s="29"/>
    </row>
    <row r="224" ht="12">
      <c r="A224" s="29"/>
    </row>
    <row r="225" ht="12">
      <c r="A225" s="29"/>
    </row>
    <row r="226" ht="12">
      <c r="A226" s="29"/>
    </row>
    <row r="227" ht="12">
      <c r="A227" s="29"/>
    </row>
    <row r="228" ht="12">
      <c r="A228" s="29"/>
    </row>
    <row r="229" ht="12">
      <c r="A229" s="29"/>
    </row>
    <row r="230" ht="12">
      <c r="A230" s="29"/>
    </row>
    <row r="231" ht="12">
      <c r="A231" s="29"/>
    </row>
    <row r="232" ht="12">
      <c r="A232" s="29"/>
    </row>
    <row r="233" ht="12">
      <c r="A233" s="29"/>
    </row>
    <row r="234" ht="12">
      <c r="A234" s="29"/>
    </row>
    <row r="235" ht="12">
      <c r="A235" s="29"/>
    </row>
    <row r="236" ht="12">
      <c r="A236" s="29"/>
    </row>
    <row r="237" ht="12">
      <c r="A237" s="29"/>
    </row>
    <row r="238" ht="12">
      <c r="A238" s="29"/>
    </row>
    <row r="239" ht="12">
      <c r="A239" s="29"/>
    </row>
    <row r="240" ht="12">
      <c r="A240" s="29"/>
    </row>
    <row r="241" ht="12">
      <c r="A241" s="29"/>
    </row>
    <row r="242" ht="12">
      <c r="A242" s="29"/>
    </row>
    <row r="243" ht="12">
      <c r="A243" s="29"/>
    </row>
    <row r="244" ht="12">
      <c r="A244" s="29"/>
    </row>
    <row r="245" ht="12">
      <c r="A245" s="29"/>
    </row>
    <row r="246" ht="12">
      <c r="A246" s="29"/>
    </row>
    <row r="247" ht="12">
      <c r="A247" s="29"/>
    </row>
    <row r="248" ht="12">
      <c r="A248" s="29"/>
    </row>
    <row r="249" ht="12">
      <c r="A249" s="29"/>
    </row>
    <row r="250" ht="12">
      <c r="A250" s="29"/>
    </row>
    <row r="251" ht="12">
      <c r="A251" s="29"/>
    </row>
    <row r="252" ht="12">
      <c r="A252" s="29"/>
    </row>
    <row r="253" ht="12">
      <c r="A253" s="29"/>
    </row>
    <row r="254" ht="12">
      <c r="A254" s="29"/>
    </row>
    <row r="255" ht="12">
      <c r="A255" s="29"/>
    </row>
    <row r="256" ht="12">
      <c r="A256" s="29"/>
    </row>
    <row r="257" ht="12">
      <c r="A257" s="29"/>
    </row>
    <row r="258" ht="12">
      <c r="A258" s="29"/>
    </row>
    <row r="259" ht="12">
      <c r="A259" s="29"/>
    </row>
    <row r="260" ht="12">
      <c r="A260" s="29"/>
    </row>
    <row r="261" ht="12">
      <c r="A261" s="29"/>
    </row>
    <row r="262" ht="12">
      <c r="A262" s="29"/>
    </row>
    <row r="263" ht="12">
      <c r="A263" s="29"/>
    </row>
    <row r="264" ht="12">
      <c r="A264" s="29"/>
    </row>
    <row r="265" ht="12">
      <c r="A265" s="29"/>
    </row>
    <row r="266" ht="12">
      <c r="A266" s="29"/>
    </row>
    <row r="267" ht="12">
      <c r="A267" s="29"/>
    </row>
    <row r="268" ht="12">
      <c r="A268" s="29"/>
    </row>
    <row r="269" ht="12">
      <c r="A269" s="29"/>
    </row>
    <row r="270" ht="12">
      <c r="A270" s="29"/>
    </row>
    <row r="271" ht="12">
      <c r="A271" s="29"/>
    </row>
    <row r="272" ht="12">
      <c r="A272" s="29"/>
    </row>
    <row r="273" ht="12">
      <c r="A273" s="29"/>
    </row>
    <row r="274" ht="12">
      <c r="A274" s="29"/>
    </row>
    <row r="275" ht="12">
      <c r="A275" s="29"/>
    </row>
    <row r="276" ht="12">
      <c r="A276" s="29"/>
    </row>
    <row r="277" ht="12">
      <c r="A277" s="29"/>
    </row>
    <row r="278" ht="12">
      <c r="A278" s="29"/>
    </row>
    <row r="279" ht="12">
      <c r="A279" s="29"/>
    </row>
    <row r="280" ht="12">
      <c r="A280" s="29"/>
    </row>
    <row r="281" ht="12">
      <c r="A281" s="29"/>
    </row>
    <row r="282" ht="12">
      <c r="A282" s="29"/>
    </row>
    <row r="283" ht="12">
      <c r="A283" s="29"/>
    </row>
    <row r="284" ht="12">
      <c r="A284" s="29"/>
    </row>
    <row r="285" ht="12">
      <c r="A285" s="29"/>
    </row>
    <row r="286" ht="12">
      <c r="A286" s="29"/>
    </row>
    <row r="287" ht="12">
      <c r="A287" s="29"/>
    </row>
    <row r="288" ht="12">
      <c r="A288" s="29"/>
    </row>
    <row r="289" ht="12">
      <c r="A289" s="29"/>
    </row>
    <row r="290" ht="12">
      <c r="A290" s="29"/>
    </row>
    <row r="291" ht="12">
      <c r="A291" s="29"/>
    </row>
    <row r="292" ht="12">
      <c r="A292" s="29"/>
    </row>
    <row r="293" ht="12">
      <c r="A293" s="29"/>
    </row>
    <row r="294" ht="12">
      <c r="A294" s="29"/>
    </row>
    <row r="295" ht="12">
      <c r="A295" s="29"/>
    </row>
    <row r="296" ht="12">
      <c r="A296" s="29"/>
    </row>
    <row r="297" ht="12">
      <c r="A297" s="29"/>
    </row>
    <row r="298" ht="12">
      <c r="A298" s="29"/>
    </row>
    <row r="299" ht="12">
      <c r="A299" s="29"/>
    </row>
    <row r="300" ht="12">
      <c r="A300" s="29"/>
    </row>
    <row r="301" ht="12">
      <c r="A301" s="29"/>
    </row>
    <row r="302" ht="12">
      <c r="A302" s="29"/>
    </row>
    <row r="303" ht="12">
      <c r="A303" s="29"/>
    </row>
    <row r="304" ht="12">
      <c r="A304" s="29"/>
    </row>
    <row r="305" ht="12">
      <c r="A305" s="29"/>
    </row>
    <row r="306" ht="12">
      <c r="A306" s="29"/>
    </row>
    <row r="307" ht="12">
      <c r="A307" s="29"/>
    </row>
    <row r="308" ht="12">
      <c r="A308" s="29"/>
    </row>
    <row r="309" ht="12">
      <c r="A309" s="29"/>
    </row>
    <row r="310" ht="12">
      <c r="A310" s="29"/>
    </row>
    <row r="311" ht="12">
      <c r="A311" s="29"/>
    </row>
    <row r="312" ht="12">
      <c r="A312" s="29"/>
    </row>
    <row r="313" ht="12">
      <c r="A313" s="29"/>
    </row>
    <row r="314" ht="12">
      <c r="A314" s="29"/>
    </row>
    <row r="315" ht="12">
      <c r="A315" s="29"/>
    </row>
    <row r="316" ht="12">
      <c r="A316" s="29"/>
    </row>
    <row r="317" ht="12">
      <c r="A317" s="29"/>
    </row>
    <row r="318" ht="12">
      <c r="A318" s="29"/>
    </row>
    <row r="319" ht="12">
      <c r="A319" s="29"/>
    </row>
    <row r="320" ht="12">
      <c r="A320" s="29"/>
    </row>
    <row r="321" ht="12">
      <c r="A321" s="29"/>
    </row>
    <row r="322" ht="12">
      <c r="A322" s="29"/>
    </row>
    <row r="323" ht="12">
      <c r="A323" s="29"/>
    </row>
    <row r="324" ht="12">
      <c r="A324" s="29"/>
    </row>
    <row r="325" ht="12">
      <c r="A325" s="29"/>
    </row>
    <row r="326" ht="12">
      <c r="A326" s="29"/>
    </row>
    <row r="327" ht="12">
      <c r="A327" s="29"/>
    </row>
  </sheetData>
  <mergeCells count="1">
    <mergeCell ref="H102:J102"/>
  </mergeCells>
  <printOptions/>
  <pageMargins left="0.27" right="0.45" top="0.34" bottom="0.62" header="0.33" footer="0.62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7"/>
  <sheetViews>
    <sheetView workbookViewId="0" topLeftCell="A167">
      <selection activeCell="F178" sqref="F178"/>
    </sheetView>
  </sheetViews>
  <sheetFormatPr defaultColWidth="9.140625" defaultRowHeight="12.75"/>
  <cols>
    <col min="1" max="1" width="5.28125" style="27" customWidth="1"/>
    <col min="2" max="2" width="2.8515625" style="27" customWidth="1"/>
    <col min="3" max="7" width="9.140625" style="27" customWidth="1"/>
    <col min="8" max="8" width="10.7109375" style="27" customWidth="1"/>
    <col min="9" max="9" width="1.8515625" style="27" customWidth="1"/>
    <col min="10" max="10" width="10.57421875" style="27" customWidth="1"/>
    <col min="11" max="11" width="1.8515625" style="27" customWidth="1"/>
    <col min="12" max="12" width="11.28125" style="27" customWidth="1"/>
    <col min="13" max="13" width="9.00390625" style="27" customWidth="1"/>
    <col min="14" max="16384" width="9.140625" style="27" customWidth="1"/>
  </cols>
  <sheetData>
    <row r="1" spans="1:12" ht="12.75">
      <c r="A1" s="26" t="s">
        <v>1062</v>
      </c>
      <c r="L1" s="214"/>
    </row>
    <row r="2" spans="1:12" ht="12.75">
      <c r="A2" s="27" t="s">
        <v>1064</v>
      </c>
      <c r="L2" s="264"/>
    </row>
    <row r="3" spans="1:12" ht="12">
      <c r="A3" s="27" t="s">
        <v>1065</v>
      </c>
      <c r="H3" s="67"/>
      <c r="L3" s="332" t="s">
        <v>694</v>
      </c>
    </row>
    <row r="5" ht="12">
      <c r="A5" s="26" t="s">
        <v>937</v>
      </c>
    </row>
    <row r="6" ht="12">
      <c r="A6" s="28"/>
    </row>
    <row r="7" spans="1:3" ht="12">
      <c r="A7" s="30" t="s">
        <v>67</v>
      </c>
      <c r="C7" s="27" t="s">
        <v>68</v>
      </c>
    </row>
    <row r="8" spans="1:3" ht="12">
      <c r="A8" s="29"/>
      <c r="C8" s="27" t="s">
        <v>482</v>
      </c>
    </row>
    <row r="9" spans="1:3" ht="12">
      <c r="A9" s="29"/>
      <c r="C9" s="27" t="s">
        <v>234</v>
      </c>
    </row>
    <row r="10" ht="12">
      <c r="A10" s="29"/>
    </row>
    <row r="11" spans="1:3" ht="12">
      <c r="A11" s="30" t="s">
        <v>69</v>
      </c>
      <c r="B11" s="27" t="s">
        <v>62</v>
      </c>
      <c r="C11" s="27" t="s">
        <v>72</v>
      </c>
    </row>
    <row r="12" spans="1:3" ht="12">
      <c r="A12" s="29"/>
      <c r="C12" s="27" t="s">
        <v>235</v>
      </c>
    </row>
    <row r="13" ht="12">
      <c r="A13" s="29"/>
    </row>
    <row r="14" spans="1:3" ht="12">
      <c r="A14" s="30" t="s">
        <v>70</v>
      </c>
      <c r="C14" s="27" t="s">
        <v>71</v>
      </c>
    </row>
    <row r="15" spans="1:3" ht="12">
      <c r="A15" s="29"/>
      <c r="C15" s="27" t="s">
        <v>236</v>
      </c>
    </row>
    <row r="16" ht="12">
      <c r="A16" s="29"/>
    </row>
    <row r="17" spans="1:12" ht="12">
      <c r="A17" s="30" t="s">
        <v>73</v>
      </c>
      <c r="C17" s="27" t="s">
        <v>7</v>
      </c>
      <c r="H17" s="102"/>
      <c r="I17" s="102"/>
      <c r="J17" s="102"/>
      <c r="K17" s="102"/>
      <c r="L17" s="102"/>
    </row>
    <row r="18" spans="1:12" ht="12">
      <c r="A18" s="30"/>
      <c r="H18" s="102" t="s">
        <v>478</v>
      </c>
      <c r="I18" s="102"/>
      <c r="J18" s="102" t="s">
        <v>478</v>
      </c>
      <c r="K18" s="102"/>
      <c r="L18" s="102"/>
    </row>
    <row r="19" spans="1:12" ht="12">
      <c r="A19" s="30"/>
      <c r="H19" s="102" t="s">
        <v>480</v>
      </c>
      <c r="I19" s="102"/>
      <c r="J19" s="102" t="s">
        <v>479</v>
      </c>
      <c r="K19" s="102"/>
      <c r="L19" s="102"/>
    </row>
    <row r="20" spans="1:12" ht="12">
      <c r="A20" s="30"/>
      <c r="H20" s="112" t="s">
        <v>932</v>
      </c>
      <c r="I20" s="102"/>
      <c r="J20" s="112" t="s">
        <v>932</v>
      </c>
      <c r="K20" s="102"/>
      <c r="L20" s="112"/>
    </row>
    <row r="21" spans="1:12" ht="12">
      <c r="A21" s="30"/>
      <c r="H21" s="103" t="s">
        <v>59</v>
      </c>
      <c r="I21" s="102"/>
      <c r="J21" s="103" t="s">
        <v>59</v>
      </c>
      <c r="K21" s="102"/>
      <c r="L21" s="103"/>
    </row>
    <row r="22" spans="1:10" ht="12">
      <c r="A22" s="30"/>
      <c r="J22" s="79"/>
    </row>
    <row r="23" spans="1:12" ht="12.75">
      <c r="A23" s="30"/>
      <c r="C23" s="27" t="s">
        <v>651</v>
      </c>
      <c r="H23" s="75">
        <f>'notes-w'!C17</f>
        <v>308</v>
      </c>
      <c r="J23" s="100">
        <f>'notes-w'!C25</f>
        <v>389</v>
      </c>
      <c r="L23"/>
    </row>
    <row r="24" spans="1:12" ht="12.75">
      <c r="A24" s="30"/>
      <c r="C24" s="27" t="s">
        <v>481</v>
      </c>
      <c r="H24" s="78">
        <f>'[3]notes-w'!L14</f>
        <v>0</v>
      </c>
      <c r="J24" s="116">
        <f>'[3]notes-w'!L23</f>
        <v>0</v>
      </c>
      <c r="L24"/>
    </row>
    <row r="25" spans="1:12" ht="12.75">
      <c r="A25" s="30"/>
      <c r="H25" s="75">
        <f>SUM(H23:H24)</f>
        <v>308</v>
      </c>
      <c r="J25" s="100">
        <f>SUM(J23:J24)</f>
        <v>389</v>
      </c>
      <c r="L25"/>
    </row>
    <row r="26" spans="1:12" ht="12.75">
      <c r="A26" s="30"/>
      <c r="C26" s="27" t="s">
        <v>223</v>
      </c>
      <c r="H26" s="75">
        <f>'[3]notes-w'!L15</f>
        <v>0</v>
      </c>
      <c r="J26" s="100">
        <f>'[3]notes-w'!L24</f>
        <v>0</v>
      </c>
      <c r="L26"/>
    </row>
    <row r="27" spans="1:12" ht="13.5" thickBot="1">
      <c r="A27" s="30"/>
      <c r="H27" s="76">
        <f>SUM(H25:H26)</f>
        <v>308</v>
      </c>
      <c r="J27" s="95">
        <f>SUM(J25:J26)</f>
        <v>389</v>
      </c>
      <c r="L27"/>
    </row>
    <row r="28" spans="1:12" ht="13.5" thickTop="1">
      <c r="A28" s="30"/>
      <c r="H28" s="77"/>
      <c r="J28" s="311"/>
      <c r="L28"/>
    </row>
    <row r="29" spans="1:12" ht="12.75">
      <c r="A29" s="30"/>
      <c r="C29" s="27" t="s">
        <v>683</v>
      </c>
      <c r="H29" s="77"/>
      <c r="J29" s="311"/>
      <c r="L29"/>
    </row>
    <row r="30" spans="1:12" ht="12.75">
      <c r="A30" s="30"/>
      <c r="C30" s="27" t="s">
        <v>682</v>
      </c>
      <c r="H30" s="77"/>
      <c r="J30" s="311"/>
      <c r="L30"/>
    </row>
    <row r="31" spans="1:12" ht="12.75">
      <c r="A31" s="30"/>
      <c r="H31" s="77"/>
      <c r="J31" s="311"/>
      <c r="L31"/>
    </row>
    <row r="32" spans="1:3" ht="12">
      <c r="A32" s="30" t="s">
        <v>76</v>
      </c>
      <c r="C32" s="27" t="s">
        <v>895</v>
      </c>
    </row>
    <row r="33" spans="1:3" ht="12">
      <c r="A33" s="29"/>
      <c r="C33" s="27" t="s">
        <v>896</v>
      </c>
    </row>
    <row r="34" spans="1:3" ht="12">
      <c r="A34" s="29"/>
      <c r="C34" s="27" t="s">
        <v>239</v>
      </c>
    </row>
    <row r="35" spans="1:11" ht="12">
      <c r="A35" s="29"/>
      <c r="H35" s="102"/>
      <c r="I35" s="102"/>
      <c r="J35" s="102"/>
      <c r="K35" s="102"/>
    </row>
    <row r="36" spans="1:3" ht="12">
      <c r="A36" s="30" t="s">
        <v>77</v>
      </c>
      <c r="C36" s="27" t="s">
        <v>79</v>
      </c>
    </row>
    <row r="37" spans="1:12" ht="12">
      <c r="A37" s="29"/>
      <c r="C37" s="27" t="s">
        <v>240</v>
      </c>
      <c r="J37" s="29"/>
      <c r="L37" s="29"/>
    </row>
    <row r="38" spans="1:12" ht="12">
      <c r="A38" s="29"/>
      <c r="J38" s="29"/>
      <c r="L38" s="29"/>
    </row>
    <row r="39" spans="1:12" ht="12.75">
      <c r="A39" s="29"/>
      <c r="C39" s="27" t="s">
        <v>1012</v>
      </c>
      <c r="J39" s="75"/>
      <c r="K39" s="75"/>
      <c r="L39"/>
    </row>
    <row r="40" spans="1:12" ht="12.75">
      <c r="A40" s="29"/>
      <c r="J40" s="102" t="s">
        <v>59</v>
      </c>
      <c r="K40" s="75"/>
      <c r="L40"/>
    </row>
    <row r="41" spans="1:12" ht="12.75">
      <c r="A41" s="29"/>
      <c r="J41" s="75"/>
      <c r="K41" s="75"/>
      <c r="L41"/>
    </row>
    <row r="42" spans="1:12" ht="12.75">
      <c r="A42" s="29"/>
      <c r="G42" s="27" t="s">
        <v>573</v>
      </c>
      <c r="J42" s="75">
        <v>4623</v>
      </c>
      <c r="K42" s="75"/>
      <c r="L42"/>
    </row>
    <row r="43" spans="1:12" ht="12.75">
      <c r="A43" s="29"/>
      <c r="J43" s="75"/>
      <c r="K43" s="75"/>
      <c r="L43"/>
    </row>
    <row r="44" spans="1:12" ht="12.75">
      <c r="A44" s="29"/>
      <c r="G44" s="27" t="s">
        <v>574</v>
      </c>
      <c r="J44" s="75">
        <v>4623</v>
      </c>
      <c r="K44" s="75"/>
      <c r="L44"/>
    </row>
    <row r="45" spans="1:12" ht="12.75">
      <c r="A45" s="29"/>
      <c r="J45" s="75"/>
      <c r="K45" s="75"/>
      <c r="L45"/>
    </row>
    <row r="46" spans="1:12" ht="12.75">
      <c r="A46" s="29"/>
      <c r="G46" s="27" t="s">
        <v>575</v>
      </c>
      <c r="J46" s="168">
        <f>1849*2.18</f>
        <v>4030.82</v>
      </c>
      <c r="K46" s="75"/>
      <c r="L46"/>
    </row>
    <row r="47" spans="1:12" ht="12.75">
      <c r="A47" s="29"/>
      <c r="J47" s="168"/>
      <c r="K47" s="75"/>
      <c r="L47" s="214"/>
    </row>
    <row r="48" spans="1:3" ht="12">
      <c r="A48" s="30" t="s">
        <v>78</v>
      </c>
      <c r="C48" s="27" t="s">
        <v>447</v>
      </c>
    </row>
    <row r="49" spans="1:3" ht="12">
      <c r="A49" s="29"/>
      <c r="C49" s="27" t="s">
        <v>448</v>
      </c>
    </row>
    <row r="50" spans="1:3" ht="12">
      <c r="A50" s="29"/>
      <c r="C50" s="27" t="s">
        <v>431</v>
      </c>
    </row>
    <row r="51" spans="1:3" ht="12">
      <c r="A51" s="29"/>
      <c r="C51" s="27" t="s">
        <v>675</v>
      </c>
    </row>
    <row r="52" ht="12">
      <c r="A52" s="29"/>
    </row>
    <row r="53" spans="1:3" ht="12">
      <c r="A53" s="30" t="s">
        <v>80</v>
      </c>
      <c r="C53" s="27" t="s">
        <v>82</v>
      </c>
    </row>
    <row r="54" spans="1:3" ht="12">
      <c r="A54" s="29"/>
      <c r="C54" s="27" t="s">
        <v>243</v>
      </c>
    </row>
    <row r="55" spans="1:3" ht="12">
      <c r="A55" s="29"/>
      <c r="C55" s="27" t="s">
        <v>244</v>
      </c>
    </row>
    <row r="56" ht="12">
      <c r="A56" s="29"/>
    </row>
    <row r="57" spans="1:3" ht="12">
      <c r="A57" s="30" t="s">
        <v>81</v>
      </c>
      <c r="C57" s="27" t="s">
        <v>85</v>
      </c>
    </row>
    <row r="58" spans="1:3" ht="12">
      <c r="A58" s="30"/>
      <c r="C58" s="27" t="s">
        <v>245</v>
      </c>
    </row>
    <row r="59" spans="1:3" ht="12">
      <c r="A59" s="30"/>
      <c r="C59" s="27" t="s">
        <v>246</v>
      </c>
    </row>
    <row r="60" spans="1:12" ht="12.75">
      <c r="A60" s="30"/>
      <c r="L60" s="214"/>
    </row>
    <row r="61" spans="1:12" ht="12">
      <c r="A61" s="30"/>
      <c r="L61" s="332" t="s">
        <v>695</v>
      </c>
    </row>
    <row r="62" spans="1:3" ht="12">
      <c r="A62" s="30" t="s">
        <v>83</v>
      </c>
      <c r="C62" s="27" t="s">
        <v>87</v>
      </c>
    </row>
    <row r="63" spans="1:12" ht="12">
      <c r="A63" s="30"/>
      <c r="J63" s="102" t="s">
        <v>401</v>
      </c>
      <c r="K63" s="102"/>
      <c r="L63" s="102" t="s">
        <v>401</v>
      </c>
    </row>
    <row r="64" spans="1:12" ht="12">
      <c r="A64" s="30"/>
      <c r="J64" s="112" t="s">
        <v>932</v>
      </c>
      <c r="K64" s="102"/>
      <c r="L64" s="112" t="s">
        <v>1063</v>
      </c>
    </row>
    <row r="65" spans="1:12" ht="12">
      <c r="A65" s="29"/>
      <c r="B65" s="27" t="s">
        <v>396</v>
      </c>
      <c r="C65" s="66" t="s">
        <v>63</v>
      </c>
      <c r="J65" s="102" t="s">
        <v>59</v>
      </c>
      <c r="K65" s="102"/>
      <c r="L65" s="102" t="s">
        <v>59</v>
      </c>
    </row>
    <row r="66" spans="1:3" ht="12">
      <c r="A66" s="30"/>
      <c r="C66" s="27" t="s">
        <v>397</v>
      </c>
    </row>
    <row r="67" spans="1:12" ht="12">
      <c r="A67" s="30"/>
      <c r="D67" s="27" t="s">
        <v>630</v>
      </c>
      <c r="J67" s="400">
        <f>'notes-w'!C32</f>
        <v>12</v>
      </c>
      <c r="K67" s="400"/>
      <c r="L67" s="403">
        <v>24</v>
      </c>
    </row>
    <row r="68" spans="1:12" ht="12">
      <c r="A68" s="30"/>
      <c r="D68" s="27" t="s">
        <v>902</v>
      </c>
      <c r="J68" s="400"/>
      <c r="K68" s="400"/>
      <c r="L68" s="403"/>
    </row>
    <row r="69" spans="1:12" ht="12">
      <c r="A69" s="30"/>
      <c r="D69" s="27" t="s">
        <v>398</v>
      </c>
      <c r="J69" s="403">
        <f>'notes-w'!C33</f>
        <v>0</v>
      </c>
      <c r="K69" s="400"/>
      <c r="L69" s="403">
        <v>0</v>
      </c>
    </row>
    <row r="70" spans="1:12" ht="12">
      <c r="A70" s="30"/>
      <c r="D70" s="27" t="s">
        <v>399</v>
      </c>
      <c r="J70" s="399">
        <f>'notes-w'!C36</f>
        <v>0</v>
      </c>
      <c r="K70" s="400"/>
      <c r="L70" s="399">
        <v>0</v>
      </c>
    </row>
    <row r="71" spans="1:12" ht="12">
      <c r="A71" s="30"/>
      <c r="D71" s="27" t="s">
        <v>842</v>
      </c>
      <c r="J71" s="399">
        <f>'notes-w'!C34</f>
        <v>0</v>
      </c>
      <c r="K71" s="400"/>
      <c r="L71" s="399">
        <v>0</v>
      </c>
    </row>
    <row r="72" spans="1:12" ht="12">
      <c r="A72" s="30"/>
      <c r="D72" s="27" t="s">
        <v>1000</v>
      </c>
      <c r="J72" s="404">
        <f>'notes-w'!C44</f>
        <v>0</v>
      </c>
      <c r="K72" s="400"/>
      <c r="L72" s="404">
        <v>0</v>
      </c>
    </row>
    <row r="73" spans="1:12" ht="12">
      <c r="A73" s="30"/>
      <c r="J73" s="399">
        <f>SUM(J67:J72)</f>
        <v>12</v>
      </c>
      <c r="K73" s="405"/>
      <c r="L73" s="399">
        <f>SUM(L67:L72)</f>
        <v>24</v>
      </c>
    </row>
    <row r="74" spans="1:12" ht="12">
      <c r="A74" s="30"/>
      <c r="C74" s="27" t="s">
        <v>400</v>
      </c>
      <c r="J74" s="403"/>
      <c r="K74" s="400"/>
      <c r="L74" s="403"/>
    </row>
    <row r="75" spans="1:12" ht="12">
      <c r="A75" s="30"/>
      <c r="D75" s="27" t="s">
        <v>398</v>
      </c>
      <c r="J75" s="403">
        <f>'notes-w'!C39</f>
        <v>0</v>
      </c>
      <c r="K75" s="400"/>
      <c r="L75" s="403">
        <v>0</v>
      </c>
    </row>
    <row r="76" spans="1:12" ht="12">
      <c r="A76" s="30"/>
      <c r="D76" s="27" t="s">
        <v>648</v>
      </c>
      <c r="J76" s="403">
        <f>'notes-w'!C40</f>
        <v>100172</v>
      </c>
      <c r="K76" s="400"/>
      <c r="L76" s="403">
        <v>100345</v>
      </c>
    </row>
    <row r="77" spans="1:12" ht="12.75" thickBot="1">
      <c r="A77" s="30"/>
      <c r="J77" s="406">
        <f>J73+J76</f>
        <v>100184</v>
      </c>
      <c r="K77" s="400"/>
      <c r="L77" s="406">
        <f>SUM(L73:L76)</f>
        <v>100369</v>
      </c>
    </row>
    <row r="78" spans="1:12" ht="12.75" thickTop="1">
      <c r="A78" s="30"/>
      <c r="J78" s="399"/>
      <c r="K78" s="400"/>
      <c r="L78" s="401"/>
    </row>
    <row r="79" spans="1:12" ht="12">
      <c r="A79" s="30"/>
      <c r="B79" s="27" t="s">
        <v>402</v>
      </c>
      <c r="C79" s="66" t="s">
        <v>865</v>
      </c>
      <c r="J79" s="399"/>
      <c r="K79" s="400"/>
      <c r="L79" s="402"/>
    </row>
    <row r="80" spans="1:12" ht="12">
      <c r="A80" s="30"/>
      <c r="C80" s="66"/>
      <c r="J80" s="399"/>
      <c r="K80" s="400"/>
      <c r="L80" s="402"/>
    </row>
    <row r="81" spans="1:12" ht="12">
      <c r="A81" s="30"/>
      <c r="C81" s="27" t="s">
        <v>866</v>
      </c>
      <c r="J81" s="399">
        <f>'notes-w'!C52</f>
        <v>46</v>
      </c>
      <c r="K81" s="400"/>
      <c r="L81" s="403">
        <v>60</v>
      </c>
    </row>
    <row r="82" spans="1:12" ht="12">
      <c r="A82" s="30"/>
      <c r="J82" s="399"/>
      <c r="K82" s="400"/>
      <c r="L82" s="403"/>
    </row>
    <row r="83" spans="1:12" ht="12">
      <c r="A83" s="29"/>
      <c r="C83" s="67" t="s">
        <v>407</v>
      </c>
      <c r="D83" s="27" t="s">
        <v>406</v>
      </c>
      <c r="J83" s="403"/>
      <c r="K83" s="400"/>
      <c r="L83" s="403"/>
    </row>
    <row r="84" spans="1:12" ht="12">
      <c r="A84" s="29"/>
      <c r="C84" s="67"/>
      <c r="D84" s="27" t="s">
        <v>1001</v>
      </c>
      <c r="J84" s="403">
        <f>'notes-w'!C54</f>
        <v>-12</v>
      </c>
      <c r="K84" s="400"/>
      <c r="L84" s="403">
        <f>-L67</f>
        <v>-24</v>
      </c>
    </row>
    <row r="85" spans="1:12" ht="12.75" thickBot="1">
      <c r="A85" s="29"/>
      <c r="C85" s="67"/>
      <c r="J85" s="406">
        <f>SUM(J81:J84)</f>
        <v>34</v>
      </c>
      <c r="K85" s="400"/>
      <c r="L85" s="406">
        <f>SUM(L81:L84)</f>
        <v>36</v>
      </c>
    </row>
    <row r="86" spans="1:11" ht="12.75" thickTop="1">
      <c r="A86" s="29"/>
      <c r="K86" s="400"/>
    </row>
    <row r="87" spans="1:12" ht="12">
      <c r="A87" s="29"/>
      <c r="B87" s="27" t="s">
        <v>500</v>
      </c>
      <c r="C87" s="66" t="s">
        <v>898</v>
      </c>
      <c r="J87" s="77"/>
      <c r="L87" s="265"/>
    </row>
    <row r="88" spans="1:12" ht="12">
      <c r="A88" s="29"/>
      <c r="C88" s="66"/>
      <c r="J88" s="77"/>
      <c r="L88" s="265"/>
    </row>
    <row r="89" spans="1:12" ht="12">
      <c r="A89" s="29"/>
      <c r="C89" s="27" t="s">
        <v>449</v>
      </c>
      <c r="J89" s="77"/>
      <c r="L89" s="265"/>
    </row>
    <row r="90" spans="1:10" ht="12">
      <c r="A90" s="29"/>
      <c r="J90" s="77"/>
    </row>
    <row r="91" spans="1:10" ht="12">
      <c r="A91" s="29"/>
      <c r="J91" s="77"/>
    </row>
    <row r="92" spans="1:12" ht="12">
      <c r="A92" s="30" t="s">
        <v>84</v>
      </c>
      <c r="C92" s="27" t="s">
        <v>483</v>
      </c>
      <c r="K92" s="26"/>
      <c r="L92" s="26"/>
    </row>
    <row r="93" spans="1:12" ht="12">
      <c r="A93" s="30"/>
      <c r="J93" s="102" t="s">
        <v>401</v>
      </c>
      <c r="K93" s="26"/>
      <c r="L93" s="102" t="s">
        <v>401</v>
      </c>
    </row>
    <row r="94" spans="1:12" ht="12.75" customHeight="1">
      <c r="A94" s="30"/>
      <c r="H94" s="606" t="s">
        <v>577</v>
      </c>
      <c r="I94" s="606"/>
      <c r="J94" s="606"/>
      <c r="K94" s="26"/>
      <c r="L94" s="112" t="s">
        <v>1063</v>
      </c>
    </row>
    <row r="95" spans="1:12" ht="12">
      <c r="A95" s="30"/>
      <c r="H95" s="102"/>
      <c r="I95" s="26"/>
      <c r="J95" s="102" t="s">
        <v>59</v>
      </c>
      <c r="K95" s="26"/>
      <c r="L95" s="102" t="s">
        <v>59</v>
      </c>
    </row>
    <row r="96" spans="1:3" ht="12">
      <c r="A96" s="30"/>
      <c r="C96" s="27" t="s">
        <v>522</v>
      </c>
    </row>
    <row r="97" spans="1:12" ht="12">
      <c r="A97" s="30"/>
      <c r="C97" s="27" t="s">
        <v>576</v>
      </c>
      <c r="H97" s="101"/>
      <c r="I97" s="99"/>
      <c r="J97" s="356">
        <f>'notes-w'!C75</f>
        <v>8733</v>
      </c>
      <c r="K97" s="99"/>
      <c r="L97" s="101">
        <v>5017</v>
      </c>
    </row>
    <row r="98" spans="1:12" ht="12">
      <c r="A98" s="30"/>
      <c r="H98" s="101"/>
      <c r="I98" s="99"/>
      <c r="J98" s="356"/>
      <c r="K98" s="99"/>
      <c r="L98" s="101"/>
    </row>
    <row r="99" spans="1:12" ht="12">
      <c r="A99" s="30"/>
      <c r="B99" s="332" t="s">
        <v>437</v>
      </c>
      <c r="C99" s="27" t="s">
        <v>522</v>
      </c>
      <c r="H99" s="101"/>
      <c r="I99" s="99"/>
      <c r="J99" s="356"/>
      <c r="K99" s="99"/>
      <c r="L99" s="101"/>
    </row>
    <row r="100" spans="1:12" ht="12">
      <c r="A100" s="30"/>
      <c r="C100" s="27" t="s">
        <v>589</v>
      </c>
      <c r="H100" s="101"/>
      <c r="I100" s="99"/>
      <c r="J100" s="356"/>
      <c r="K100" s="99"/>
      <c r="L100" s="101"/>
    </row>
    <row r="101" spans="1:12" ht="12">
      <c r="A101" s="30"/>
      <c r="C101" s="27" t="s">
        <v>670</v>
      </c>
      <c r="H101" s="101"/>
      <c r="I101" s="99"/>
      <c r="J101" s="356">
        <f>'notes-w'!C77</f>
        <v>2005</v>
      </c>
      <c r="K101" s="99"/>
      <c r="L101" s="101">
        <v>15536</v>
      </c>
    </row>
    <row r="102" spans="1:12" ht="12">
      <c r="A102" s="30"/>
      <c r="H102" s="77"/>
      <c r="J102" s="399"/>
      <c r="L102" s="77"/>
    </row>
    <row r="103" spans="1:12" ht="12">
      <c r="A103" s="30"/>
      <c r="B103" s="27" t="s">
        <v>437</v>
      </c>
      <c r="C103" s="27" t="s">
        <v>559</v>
      </c>
      <c r="H103" s="77"/>
      <c r="J103" s="399"/>
      <c r="L103" s="77"/>
    </row>
    <row r="104" spans="1:8" ht="12">
      <c r="A104" s="30"/>
      <c r="C104" s="27" t="s">
        <v>196</v>
      </c>
      <c r="H104" s="101"/>
    </row>
    <row r="105" spans="1:12" ht="12.75" thickBot="1">
      <c r="A105" s="30"/>
      <c r="C105" s="27" t="s">
        <v>669</v>
      </c>
      <c r="H105" s="101"/>
      <c r="J105" s="408">
        <f>'notes-w'!C79</f>
        <v>613</v>
      </c>
      <c r="L105" s="113">
        <v>874</v>
      </c>
    </row>
    <row r="106" spans="1:12" ht="12.75" thickTop="1">
      <c r="A106" s="30"/>
      <c r="H106" s="101"/>
      <c r="J106" s="356"/>
      <c r="L106" s="101"/>
    </row>
    <row r="107" spans="1:12" ht="12">
      <c r="A107" s="30"/>
      <c r="B107" s="332" t="s">
        <v>437</v>
      </c>
      <c r="C107" s="27" t="s">
        <v>446</v>
      </c>
      <c r="H107" s="101"/>
      <c r="J107" s="356"/>
      <c r="L107" s="101"/>
    </row>
    <row r="108" spans="1:12" ht="12">
      <c r="A108" s="30"/>
      <c r="C108" s="27" t="s">
        <v>590</v>
      </c>
      <c r="H108" s="101"/>
      <c r="J108" s="356"/>
      <c r="L108" s="101"/>
    </row>
    <row r="109" spans="1:12" ht="12">
      <c r="A109" s="30"/>
      <c r="J109" s="77"/>
      <c r="L109" s="77"/>
    </row>
    <row r="110" spans="1:12" ht="12">
      <c r="A110" s="30"/>
      <c r="J110" s="77"/>
      <c r="L110" s="77"/>
    </row>
    <row r="111" spans="1:12" ht="12">
      <c r="A111" s="30"/>
      <c r="C111" s="27" t="s">
        <v>631</v>
      </c>
      <c r="J111" s="77"/>
      <c r="L111" s="77"/>
    </row>
    <row r="112" spans="1:12" ht="12">
      <c r="A112" s="30"/>
      <c r="C112" s="27" t="s">
        <v>632</v>
      </c>
      <c r="J112" s="77"/>
      <c r="L112" s="77"/>
    </row>
    <row r="113" spans="1:12" ht="12">
      <c r="A113" s="30"/>
      <c r="C113" s="27" t="s">
        <v>633</v>
      </c>
      <c r="J113" s="77"/>
      <c r="L113" s="77"/>
    </row>
    <row r="114" spans="1:12" ht="12">
      <c r="A114" s="30"/>
      <c r="C114" s="27" t="s">
        <v>634</v>
      </c>
      <c r="J114" s="77"/>
      <c r="L114" s="77"/>
    </row>
    <row r="115" spans="1:12" ht="12">
      <c r="A115" s="30"/>
      <c r="C115" s="27" t="s">
        <v>635</v>
      </c>
      <c r="J115" s="77"/>
      <c r="L115" s="77"/>
    </row>
    <row r="116" spans="1:12" ht="12">
      <c r="A116" s="30"/>
      <c r="C116" s="27" t="s">
        <v>636</v>
      </c>
      <c r="J116" s="77"/>
      <c r="L116" s="77"/>
    </row>
    <row r="117" spans="1:12" ht="12">
      <c r="A117" s="30"/>
      <c r="C117" s="27" t="s">
        <v>637</v>
      </c>
      <c r="J117" s="77"/>
      <c r="L117" s="77"/>
    </row>
    <row r="118" spans="1:12" ht="12">
      <c r="A118" s="30"/>
      <c r="C118" s="27" t="s">
        <v>638</v>
      </c>
      <c r="J118" s="77"/>
      <c r="L118" s="77"/>
    </row>
    <row r="119" ht="12">
      <c r="A119" s="30"/>
    </row>
    <row r="120" spans="1:3" ht="12">
      <c r="A120" s="30" t="s">
        <v>86</v>
      </c>
      <c r="C120" s="27" t="s">
        <v>90</v>
      </c>
    </row>
    <row r="121" spans="1:3" ht="12">
      <c r="A121" s="29"/>
      <c r="C121" s="27" t="s">
        <v>744</v>
      </c>
    </row>
    <row r="122" spans="1:12" ht="12">
      <c r="A122" s="29"/>
      <c r="L122" s="332" t="s">
        <v>696</v>
      </c>
    </row>
    <row r="123" spans="1:3" ht="12">
      <c r="A123" s="30" t="s">
        <v>88</v>
      </c>
      <c r="C123" s="27" t="s">
        <v>92</v>
      </c>
    </row>
    <row r="124" spans="1:3" ht="12">
      <c r="A124" s="30"/>
      <c r="C124" s="27" t="s">
        <v>639</v>
      </c>
    </row>
    <row r="125" spans="1:12" ht="12">
      <c r="A125" s="29"/>
      <c r="L125" s="332"/>
    </row>
    <row r="126" spans="1:14" ht="12">
      <c r="A126" s="169">
        <v>14</v>
      </c>
      <c r="C126" s="400" t="s">
        <v>1041</v>
      </c>
      <c r="D126" s="400"/>
      <c r="E126" s="400"/>
      <c r="F126" s="400"/>
      <c r="G126" s="400"/>
      <c r="H126" s="400"/>
      <c r="I126" s="400"/>
      <c r="J126" s="400"/>
      <c r="K126" s="400"/>
      <c r="L126" s="400"/>
      <c r="M126" s="400"/>
      <c r="N126" s="400"/>
    </row>
    <row r="127" spans="1:14" ht="12">
      <c r="A127" s="30"/>
      <c r="C127" s="400" t="s">
        <v>455</v>
      </c>
      <c r="D127" s="400"/>
      <c r="E127" s="400"/>
      <c r="F127" s="400"/>
      <c r="G127" s="400"/>
      <c r="H127" s="400"/>
      <c r="I127" s="400"/>
      <c r="J127" s="400"/>
      <c r="K127" s="400"/>
      <c r="L127" s="400"/>
      <c r="M127" s="400"/>
      <c r="N127" s="400"/>
    </row>
    <row r="128" spans="1:14" ht="12">
      <c r="A128" s="30"/>
      <c r="C128" s="400" t="s">
        <v>686</v>
      </c>
      <c r="D128" s="400"/>
      <c r="E128" s="400"/>
      <c r="F128" s="400"/>
      <c r="G128" s="400"/>
      <c r="H128" s="400"/>
      <c r="I128" s="400"/>
      <c r="J128" s="400"/>
      <c r="K128" s="400"/>
      <c r="L128" s="400"/>
      <c r="M128" s="400"/>
      <c r="N128" s="400"/>
    </row>
    <row r="129" spans="1:14" ht="12">
      <c r="A129" s="30"/>
      <c r="C129" s="400" t="s">
        <v>687</v>
      </c>
      <c r="D129" s="400"/>
      <c r="E129" s="400"/>
      <c r="F129" s="400"/>
      <c r="G129" s="400"/>
      <c r="H129" s="400"/>
      <c r="I129" s="400"/>
      <c r="J129" s="400"/>
      <c r="K129" s="400"/>
      <c r="L129" s="400"/>
      <c r="M129" s="400"/>
      <c r="N129" s="400"/>
    </row>
    <row r="130" spans="1:14" ht="12">
      <c r="A130" s="30"/>
      <c r="C130" s="400"/>
      <c r="D130" s="400"/>
      <c r="E130" s="400"/>
      <c r="F130" s="400"/>
      <c r="G130" s="400"/>
      <c r="H130" s="400"/>
      <c r="I130" s="400"/>
      <c r="J130" s="400"/>
      <c r="K130" s="400"/>
      <c r="L130" s="400"/>
      <c r="M130" s="400"/>
      <c r="N130" s="400"/>
    </row>
    <row r="131" spans="1:14" ht="12">
      <c r="A131" s="169">
        <v>15</v>
      </c>
      <c r="C131" s="400" t="s">
        <v>450</v>
      </c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</row>
    <row r="132" spans="1:14" ht="12">
      <c r="A132" s="30"/>
      <c r="C132" s="400" t="s">
        <v>451</v>
      </c>
      <c r="D132" s="400"/>
      <c r="E132" s="400"/>
      <c r="F132" s="400"/>
      <c r="G132" s="400"/>
      <c r="H132" s="400"/>
      <c r="I132" s="400"/>
      <c r="J132" s="400"/>
      <c r="K132" s="400"/>
      <c r="L132" s="400"/>
      <c r="M132" s="400"/>
      <c r="N132" s="400"/>
    </row>
    <row r="133" spans="1:14" ht="12">
      <c r="A133" s="30"/>
      <c r="C133" s="400" t="s">
        <v>684</v>
      </c>
      <c r="D133" s="400"/>
      <c r="E133" s="400"/>
      <c r="F133" s="400"/>
      <c r="G133" s="400"/>
      <c r="H133" s="400"/>
      <c r="I133" s="400"/>
      <c r="J133" s="400"/>
      <c r="K133" s="400"/>
      <c r="L133" s="400"/>
      <c r="M133" s="400"/>
      <c r="N133" s="400"/>
    </row>
    <row r="134" spans="1:14" ht="12">
      <c r="A134" s="30"/>
      <c r="D134" s="400"/>
      <c r="E134" s="400"/>
      <c r="F134" s="400"/>
      <c r="G134" s="400"/>
      <c r="H134" s="400"/>
      <c r="I134" s="400"/>
      <c r="J134" s="400"/>
      <c r="K134" s="400"/>
      <c r="L134" s="400"/>
      <c r="M134" s="400"/>
      <c r="N134" s="400"/>
    </row>
    <row r="135" spans="1:3" ht="12">
      <c r="A135" s="29"/>
      <c r="C135" s="27" t="s">
        <v>685</v>
      </c>
    </row>
    <row r="136" spans="1:3" ht="12">
      <c r="A136" s="29"/>
      <c r="C136" s="27" t="s">
        <v>253</v>
      </c>
    </row>
    <row r="137" ht="12">
      <c r="A137" s="29"/>
    </row>
    <row r="138" spans="1:12" ht="12">
      <c r="A138" s="29"/>
      <c r="L138" s="332"/>
    </row>
    <row r="139" spans="1:3" ht="12">
      <c r="A139" s="30">
        <v>16</v>
      </c>
      <c r="C139" s="27" t="s">
        <v>900</v>
      </c>
    </row>
    <row r="140" spans="1:3" ht="12">
      <c r="A140" s="29"/>
      <c r="C140" s="27" t="s">
        <v>904</v>
      </c>
    </row>
    <row r="141" spans="1:3" ht="12">
      <c r="A141" s="29"/>
      <c r="C141" s="27" t="s">
        <v>680</v>
      </c>
    </row>
    <row r="142" ht="12">
      <c r="A142" s="29"/>
    </row>
    <row r="143" spans="1:3" ht="12">
      <c r="A143" s="30">
        <v>17</v>
      </c>
      <c r="C143" s="27" t="s">
        <v>905</v>
      </c>
    </row>
    <row r="144" spans="1:3" ht="12">
      <c r="A144" s="30"/>
      <c r="C144" s="27" t="s">
        <v>688</v>
      </c>
    </row>
    <row r="145" ht="12">
      <c r="A145" s="30"/>
    </row>
    <row r="146" ht="12">
      <c r="A146" s="30"/>
    </row>
    <row r="147" ht="12">
      <c r="A147" s="30"/>
    </row>
    <row r="148" spans="1:3" ht="12">
      <c r="A148" s="30">
        <v>18</v>
      </c>
      <c r="C148" s="27" t="s">
        <v>389</v>
      </c>
    </row>
    <row r="149" spans="1:3" ht="12">
      <c r="A149" s="29"/>
      <c r="C149" s="27" t="s">
        <v>689</v>
      </c>
    </row>
    <row r="150" spans="1:3" ht="12">
      <c r="A150" s="29"/>
      <c r="C150" s="27" t="s">
        <v>690</v>
      </c>
    </row>
    <row r="151" ht="12">
      <c r="A151" s="29"/>
    </row>
    <row r="152" spans="1:3" ht="12">
      <c r="A152" s="30">
        <v>19</v>
      </c>
      <c r="C152" s="27" t="s">
        <v>391</v>
      </c>
    </row>
    <row r="153" spans="1:3" ht="12">
      <c r="A153" s="29"/>
      <c r="C153" s="27" t="s">
        <v>903</v>
      </c>
    </row>
    <row r="154" ht="12">
      <c r="A154" s="29"/>
    </row>
    <row r="155" spans="1:3" ht="12">
      <c r="A155" s="30">
        <v>20</v>
      </c>
      <c r="C155" s="27" t="s">
        <v>393</v>
      </c>
    </row>
    <row r="156" spans="1:3" ht="12">
      <c r="A156" s="30"/>
      <c r="C156" s="27" t="s">
        <v>262</v>
      </c>
    </row>
    <row r="157" ht="12">
      <c r="A157" s="30"/>
    </row>
    <row r="158" spans="1:3" ht="12">
      <c r="A158" s="30">
        <v>21</v>
      </c>
      <c r="C158" s="27" t="s">
        <v>821</v>
      </c>
    </row>
    <row r="159" spans="1:3" ht="12">
      <c r="A159" s="30"/>
      <c r="C159" s="27" t="s">
        <v>263</v>
      </c>
    </row>
    <row r="160" spans="1:3" ht="12">
      <c r="A160" s="30"/>
      <c r="C160" s="27" t="s">
        <v>691</v>
      </c>
    </row>
    <row r="161" spans="1:3" ht="12">
      <c r="A161" s="29"/>
      <c r="C161" s="27" t="s">
        <v>692</v>
      </c>
    </row>
    <row r="162" ht="12">
      <c r="A162" s="29"/>
    </row>
    <row r="163" ht="12">
      <c r="A163" s="29"/>
    </row>
    <row r="164" ht="12">
      <c r="A164" s="29"/>
    </row>
    <row r="165" ht="12">
      <c r="A165" s="29"/>
    </row>
    <row r="166" ht="12">
      <c r="A166" s="82" t="s">
        <v>495</v>
      </c>
    </row>
    <row r="167" ht="12">
      <c r="A167" s="29"/>
    </row>
    <row r="168" ht="12">
      <c r="A168" s="29"/>
    </row>
    <row r="169" ht="12">
      <c r="A169" s="29"/>
    </row>
    <row r="170" ht="12">
      <c r="A170" s="84" t="s">
        <v>497</v>
      </c>
    </row>
    <row r="171" ht="12">
      <c r="A171" s="82" t="s">
        <v>498</v>
      </c>
    </row>
    <row r="172" ht="12">
      <c r="A172" s="82"/>
    </row>
    <row r="173" ht="12">
      <c r="A173" s="82" t="s">
        <v>496</v>
      </c>
    </row>
    <row r="174" ht="12">
      <c r="A174" s="83" t="s">
        <v>560</v>
      </c>
    </row>
    <row r="175" ht="12">
      <c r="A175" s="82"/>
    </row>
    <row r="176" ht="12">
      <c r="A176" s="82"/>
    </row>
    <row r="177" ht="12">
      <c r="A177" s="82"/>
    </row>
    <row r="178" ht="12">
      <c r="A178" s="29"/>
    </row>
    <row r="179" ht="12">
      <c r="A179" s="29"/>
    </row>
    <row r="180" ht="12">
      <c r="A180" s="29"/>
    </row>
    <row r="181" ht="12">
      <c r="A181" s="29"/>
    </row>
    <row r="182" ht="12">
      <c r="A182" s="29"/>
    </row>
    <row r="183" ht="12">
      <c r="A183" s="29"/>
    </row>
    <row r="184" ht="12">
      <c r="A184" s="29"/>
    </row>
    <row r="185" ht="12">
      <c r="A185" s="29"/>
    </row>
    <row r="186" ht="12">
      <c r="A186" s="29"/>
    </row>
    <row r="187" ht="12">
      <c r="A187" s="29"/>
    </row>
    <row r="188" ht="12">
      <c r="A188" s="29"/>
    </row>
    <row r="189" ht="12">
      <c r="A189" s="29"/>
    </row>
    <row r="190" ht="12">
      <c r="A190" s="29"/>
    </row>
    <row r="191" ht="12">
      <c r="A191" s="29"/>
    </row>
    <row r="192" ht="12">
      <c r="A192" s="29"/>
    </row>
    <row r="193" ht="12">
      <c r="A193" s="29"/>
    </row>
    <row r="194" ht="12">
      <c r="A194" s="29"/>
    </row>
    <row r="195" ht="12">
      <c r="A195" s="29"/>
    </row>
    <row r="196" ht="12">
      <c r="A196" s="29"/>
    </row>
    <row r="197" ht="12">
      <c r="A197" s="29"/>
    </row>
    <row r="198" ht="12">
      <c r="A198" s="29"/>
    </row>
    <row r="199" ht="12">
      <c r="A199" s="29"/>
    </row>
    <row r="200" ht="12">
      <c r="A200" s="29"/>
    </row>
    <row r="201" ht="12">
      <c r="A201" s="29"/>
    </row>
    <row r="202" ht="12">
      <c r="A202" s="29"/>
    </row>
    <row r="203" ht="12">
      <c r="A203" s="29"/>
    </row>
    <row r="204" ht="12">
      <c r="A204" s="29"/>
    </row>
    <row r="205" ht="12">
      <c r="A205" s="29"/>
    </row>
    <row r="206" ht="12">
      <c r="A206" s="29"/>
    </row>
    <row r="207" ht="12">
      <c r="A207" s="29"/>
    </row>
    <row r="208" ht="12">
      <c r="A208" s="29"/>
    </row>
    <row r="209" ht="12">
      <c r="A209" s="29"/>
    </row>
    <row r="210" ht="12">
      <c r="A210" s="29"/>
    </row>
    <row r="211" ht="12">
      <c r="A211" s="29"/>
    </row>
    <row r="212" ht="12">
      <c r="A212" s="29"/>
    </row>
    <row r="213" ht="12">
      <c r="A213" s="29"/>
    </row>
    <row r="214" ht="12">
      <c r="A214" s="29"/>
    </row>
    <row r="215" ht="12">
      <c r="A215" s="29"/>
    </row>
    <row r="216" ht="12">
      <c r="A216" s="29"/>
    </row>
    <row r="217" ht="12">
      <c r="A217" s="29"/>
    </row>
    <row r="218" ht="12">
      <c r="A218" s="29"/>
    </row>
    <row r="219" ht="12">
      <c r="A219" s="29"/>
    </row>
    <row r="220" ht="12">
      <c r="A220" s="29"/>
    </row>
    <row r="221" ht="12">
      <c r="A221" s="29"/>
    </row>
    <row r="222" ht="12">
      <c r="A222" s="29"/>
    </row>
    <row r="223" ht="12">
      <c r="A223" s="29"/>
    </row>
    <row r="224" ht="12">
      <c r="A224" s="29"/>
    </row>
    <row r="225" ht="12">
      <c r="A225" s="29"/>
    </row>
    <row r="226" ht="12">
      <c r="A226" s="29"/>
    </row>
    <row r="227" ht="12">
      <c r="A227" s="29"/>
    </row>
    <row r="228" ht="12">
      <c r="A228" s="29"/>
    </row>
    <row r="229" ht="12">
      <c r="A229" s="29"/>
    </row>
    <row r="230" ht="12">
      <c r="A230" s="29"/>
    </row>
    <row r="231" ht="12">
      <c r="A231" s="29"/>
    </row>
    <row r="232" ht="12">
      <c r="A232" s="29"/>
    </row>
    <row r="233" ht="12">
      <c r="A233" s="29"/>
    </row>
    <row r="234" ht="12">
      <c r="A234" s="29"/>
    </row>
    <row r="235" ht="12">
      <c r="A235" s="29"/>
    </row>
    <row r="236" ht="12">
      <c r="A236" s="29"/>
    </row>
    <row r="237" ht="12">
      <c r="A237" s="29"/>
    </row>
    <row r="238" ht="12">
      <c r="A238" s="29"/>
    </row>
    <row r="239" ht="12">
      <c r="A239" s="29"/>
    </row>
    <row r="240" ht="12">
      <c r="A240" s="29"/>
    </row>
    <row r="241" ht="12">
      <c r="A241" s="29"/>
    </row>
    <row r="242" ht="12">
      <c r="A242" s="29"/>
    </row>
    <row r="243" ht="12">
      <c r="A243" s="29"/>
    </row>
    <row r="244" ht="12">
      <c r="A244" s="29"/>
    </row>
    <row r="245" ht="12">
      <c r="A245" s="29"/>
    </row>
    <row r="246" ht="12">
      <c r="A246" s="29"/>
    </row>
    <row r="247" ht="12">
      <c r="A247" s="29"/>
    </row>
    <row r="248" ht="12">
      <c r="A248" s="29"/>
    </row>
    <row r="249" ht="12">
      <c r="A249" s="29"/>
    </row>
    <row r="250" ht="12">
      <c r="A250" s="29"/>
    </row>
    <row r="251" ht="12">
      <c r="A251" s="29"/>
    </row>
    <row r="252" ht="12">
      <c r="A252" s="29"/>
    </row>
    <row r="253" ht="12">
      <c r="A253" s="29"/>
    </row>
    <row r="254" ht="12">
      <c r="A254" s="29"/>
    </row>
    <row r="255" ht="12">
      <c r="A255" s="29"/>
    </row>
    <row r="256" ht="12">
      <c r="A256" s="29"/>
    </row>
    <row r="257" ht="12">
      <c r="A257" s="29"/>
    </row>
    <row r="258" ht="12">
      <c r="A258" s="29"/>
    </row>
    <row r="259" ht="12">
      <c r="A259" s="29"/>
    </row>
    <row r="260" ht="12">
      <c r="A260" s="29"/>
    </row>
    <row r="261" ht="12">
      <c r="A261" s="29"/>
    </row>
    <row r="262" ht="12">
      <c r="A262" s="29"/>
    </row>
    <row r="263" ht="12">
      <c r="A263" s="29"/>
    </row>
    <row r="264" ht="12">
      <c r="A264" s="29"/>
    </row>
    <row r="265" ht="12">
      <c r="A265" s="29"/>
    </row>
    <row r="266" ht="12">
      <c r="A266" s="29"/>
    </row>
    <row r="267" ht="12">
      <c r="A267" s="29"/>
    </row>
    <row r="268" ht="12">
      <c r="A268" s="29"/>
    </row>
    <row r="269" ht="12">
      <c r="A269" s="29"/>
    </row>
    <row r="270" ht="12">
      <c r="A270" s="29"/>
    </row>
    <row r="271" ht="12">
      <c r="A271" s="29"/>
    </row>
    <row r="272" ht="12">
      <c r="A272" s="29"/>
    </row>
    <row r="273" ht="12">
      <c r="A273" s="29"/>
    </row>
    <row r="274" ht="12">
      <c r="A274" s="29"/>
    </row>
    <row r="275" ht="12">
      <c r="A275" s="29"/>
    </row>
    <row r="276" ht="12">
      <c r="A276" s="29"/>
    </row>
    <row r="277" ht="12">
      <c r="A277" s="29"/>
    </row>
    <row r="278" ht="12">
      <c r="A278" s="29"/>
    </row>
    <row r="279" ht="12">
      <c r="A279" s="29"/>
    </row>
    <row r="280" ht="12">
      <c r="A280" s="29"/>
    </row>
    <row r="281" ht="12">
      <c r="A281" s="29"/>
    </row>
    <row r="282" ht="12">
      <c r="A282" s="29"/>
    </row>
    <row r="283" ht="12">
      <c r="A283" s="29"/>
    </row>
    <row r="284" ht="12">
      <c r="A284" s="29"/>
    </row>
    <row r="285" ht="12">
      <c r="A285" s="29"/>
    </row>
    <row r="286" ht="12">
      <c r="A286" s="29"/>
    </row>
    <row r="287" ht="12">
      <c r="A287" s="29"/>
    </row>
    <row r="288" ht="12">
      <c r="A288" s="29"/>
    </row>
    <row r="289" ht="12">
      <c r="A289" s="29"/>
    </row>
    <row r="290" ht="12">
      <c r="A290" s="29"/>
    </row>
    <row r="291" ht="12">
      <c r="A291" s="29"/>
    </row>
    <row r="292" ht="12">
      <c r="A292" s="29"/>
    </row>
    <row r="293" ht="12">
      <c r="A293" s="29"/>
    </row>
    <row r="294" ht="12">
      <c r="A294" s="29"/>
    </row>
    <row r="295" ht="12">
      <c r="A295" s="29"/>
    </row>
    <row r="296" ht="12">
      <c r="A296" s="29"/>
    </row>
    <row r="297" ht="12">
      <c r="A297" s="29"/>
    </row>
    <row r="298" ht="12">
      <c r="A298" s="29"/>
    </row>
    <row r="299" ht="12">
      <c r="A299" s="29"/>
    </row>
    <row r="300" ht="12">
      <c r="A300" s="29"/>
    </row>
    <row r="301" ht="12">
      <c r="A301" s="29"/>
    </row>
    <row r="302" ht="12">
      <c r="A302" s="29"/>
    </row>
    <row r="303" ht="12">
      <c r="A303" s="29"/>
    </row>
    <row r="304" ht="12">
      <c r="A304" s="29"/>
    </row>
    <row r="305" ht="12">
      <c r="A305" s="29"/>
    </row>
    <row r="306" ht="12">
      <c r="A306" s="29"/>
    </row>
    <row r="307" ht="12">
      <c r="A307" s="29"/>
    </row>
  </sheetData>
  <mergeCells count="1">
    <mergeCell ref="H94:J94"/>
  </mergeCells>
  <printOptions/>
  <pageMargins left="0.75" right="0.75" top="1" bottom="1" header="0.5" footer="0.5"/>
  <pageSetup horizontalDpi="360" verticalDpi="36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H1">
      <selection activeCell="N19" sqref="N19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0.7109375" style="0" customWidth="1"/>
    <col min="4" max="4" width="2.00390625" style="0" customWidth="1"/>
    <col min="5" max="5" width="16.8515625" style="0" customWidth="1"/>
    <col min="6" max="6" width="2.28125" style="0" customWidth="1"/>
    <col min="8" max="8" width="2.57421875" style="0" customWidth="1"/>
    <col min="9" max="9" width="12.140625" style="0" customWidth="1"/>
    <col min="10" max="10" width="2.57421875" style="0" customWidth="1"/>
    <col min="11" max="11" width="12.421875" style="0" customWidth="1"/>
    <col min="12" max="12" width="2.421875" style="0" customWidth="1"/>
    <col min="13" max="13" width="11.57421875" style="0" customWidth="1"/>
    <col min="14" max="14" width="2.57421875" style="0" customWidth="1"/>
    <col min="15" max="15" width="11.8515625" style="0" customWidth="1"/>
    <col min="16" max="16" width="2.57421875" style="0" customWidth="1"/>
    <col min="17" max="17" width="15.57421875" style="0" customWidth="1"/>
    <col min="19" max="19" width="9.28125" style="0" bestFit="1" customWidth="1"/>
  </cols>
  <sheetData>
    <row r="1" ht="12.75">
      <c r="Q1" s="18" t="s">
        <v>267</v>
      </c>
    </row>
    <row r="3" spans="1:2" ht="12.75">
      <c r="A3">
        <v>14</v>
      </c>
      <c r="B3" t="s">
        <v>268</v>
      </c>
    </row>
    <row r="4" ht="12.75">
      <c r="B4" t="s">
        <v>269</v>
      </c>
    </row>
    <row r="6" ht="12.75">
      <c r="B6" t="s">
        <v>270</v>
      </c>
    </row>
    <row r="8" spans="5:17" ht="12.75">
      <c r="E8" s="18" t="s">
        <v>271</v>
      </c>
      <c r="G8" s="18" t="s">
        <v>272</v>
      </c>
      <c r="H8" s="18"/>
      <c r="I8" s="18" t="s">
        <v>273</v>
      </c>
      <c r="J8" s="18"/>
      <c r="K8" s="18" t="s">
        <v>274</v>
      </c>
      <c r="L8" s="18"/>
      <c r="M8" s="18" t="s">
        <v>275</v>
      </c>
      <c r="N8" s="18"/>
      <c r="O8" s="18" t="s">
        <v>276</v>
      </c>
      <c r="P8" s="18"/>
      <c r="Q8" s="18" t="s">
        <v>277</v>
      </c>
    </row>
    <row r="9" spans="5:17" ht="12.75">
      <c r="E9" s="18" t="s">
        <v>278</v>
      </c>
      <c r="G9" s="18" t="s">
        <v>279</v>
      </c>
      <c r="H9" s="18"/>
      <c r="I9" s="18"/>
      <c r="J9" s="18"/>
      <c r="K9" s="18" t="s">
        <v>280</v>
      </c>
      <c r="L9" s="18"/>
      <c r="M9" s="18" t="s">
        <v>281</v>
      </c>
      <c r="N9" s="18"/>
      <c r="O9" s="18"/>
      <c r="P9" s="18"/>
      <c r="Q9" s="18"/>
    </row>
    <row r="10" spans="5:17" ht="12.75">
      <c r="E10" s="18" t="s">
        <v>282</v>
      </c>
      <c r="G10" s="18"/>
      <c r="H10" s="18"/>
      <c r="I10" s="18"/>
      <c r="J10" s="18"/>
      <c r="K10" s="18"/>
      <c r="L10" s="18"/>
      <c r="M10" s="18" t="s">
        <v>221</v>
      </c>
      <c r="N10" s="18"/>
      <c r="O10" s="18"/>
      <c r="P10" s="18"/>
      <c r="Q10" s="18"/>
    </row>
    <row r="11" spans="5:17" ht="12.75">
      <c r="E11" s="497" t="s">
        <v>855</v>
      </c>
      <c r="G11" s="497" t="s">
        <v>855</v>
      </c>
      <c r="H11" s="497"/>
      <c r="I11" s="497" t="s">
        <v>855</v>
      </c>
      <c r="J11" s="497"/>
      <c r="K11" s="497" t="s">
        <v>855</v>
      </c>
      <c r="L11" s="497"/>
      <c r="M11" s="497" t="s">
        <v>855</v>
      </c>
      <c r="N11" s="497"/>
      <c r="O11" s="497" t="s">
        <v>855</v>
      </c>
      <c r="P11" s="497"/>
      <c r="Q11" s="497" t="s">
        <v>855</v>
      </c>
    </row>
    <row r="12" ht="12.75">
      <c r="B12" s="357" t="s">
        <v>283</v>
      </c>
    </row>
    <row r="13" ht="12.75">
      <c r="B13" s="18" t="s">
        <v>752</v>
      </c>
    </row>
    <row r="14" spans="3:17" ht="12.75">
      <c r="C14" t="s">
        <v>284</v>
      </c>
      <c r="E14" s="498">
        <v>44053</v>
      </c>
      <c r="F14" s="498"/>
      <c r="G14" s="498">
        <v>8378</v>
      </c>
      <c r="H14" s="498"/>
      <c r="I14" s="498">
        <v>10836</v>
      </c>
      <c r="J14" s="498"/>
      <c r="K14" s="498">
        <f>9481+0</f>
        <v>9481</v>
      </c>
      <c r="L14" s="498"/>
      <c r="M14" s="498">
        <f>(506*2)+74</f>
        <v>1086</v>
      </c>
      <c r="N14" s="498"/>
      <c r="O14" s="498">
        <v>0</v>
      </c>
      <c r="P14" s="498"/>
      <c r="Q14" s="498">
        <f>SUM(E14:O14)</f>
        <v>73834</v>
      </c>
    </row>
    <row r="15" spans="3:17" ht="12.75">
      <c r="C15" t="s">
        <v>285</v>
      </c>
      <c r="E15" s="498"/>
      <c r="F15" s="498"/>
      <c r="G15" s="498"/>
      <c r="H15" s="498"/>
      <c r="I15" s="498"/>
      <c r="J15" s="498"/>
      <c r="K15" s="498"/>
      <c r="L15" s="498"/>
      <c r="M15" s="498">
        <v>694</v>
      </c>
      <c r="N15" s="498"/>
      <c r="O15" s="498">
        <v>-694</v>
      </c>
      <c r="P15" s="498"/>
      <c r="Q15" s="498">
        <f>SUM(E15:O15)</f>
        <v>0</v>
      </c>
    </row>
    <row r="16" spans="2:17" ht="13.5" thickBot="1">
      <c r="B16" t="s">
        <v>286</v>
      </c>
      <c r="E16" s="499">
        <f>E14+E15</f>
        <v>44053</v>
      </c>
      <c r="F16" s="500"/>
      <c r="G16" s="499">
        <f aca="true" t="shared" si="0" ref="G16:O16">SUM(G14:G15)</f>
        <v>8378</v>
      </c>
      <c r="H16" s="500"/>
      <c r="I16" s="499">
        <f t="shared" si="0"/>
        <v>10836</v>
      </c>
      <c r="J16" s="500"/>
      <c r="K16" s="499">
        <f t="shared" si="0"/>
        <v>9481</v>
      </c>
      <c r="L16" s="500"/>
      <c r="M16" s="499">
        <f t="shared" si="0"/>
        <v>1780</v>
      </c>
      <c r="N16" s="500"/>
      <c r="O16" s="499">
        <f t="shared" si="0"/>
        <v>-694</v>
      </c>
      <c r="P16" s="500"/>
      <c r="Q16" s="499">
        <f>SUM(Q14:Q15)</f>
        <v>73834</v>
      </c>
    </row>
    <row r="17" spans="5:17" ht="13.5" thickTop="1"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</row>
    <row r="18" spans="2:17" ht="12.75">
      <c r="B18" s="18" t="s">
        <v>287</v>
      </c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</row>
    <row r="19" spans="3:18" ht="12.75">
      <c r="C19" t="s">
        <v>288</v>
      </c>
      <c r="E19" s="498">
        <f>3034-1039</f>
        <v>1995</v>
      </c>
      <c r="F19" s="498"/>
      <c r="G19" s="498">
        <f>1767-771</f>
        <v>996</v>
      </c>
      <c r="H19" s="498"/>
      <c r="I19" s="498">
        <f>5565-1770</f>
        <v>3795</v>
      </c>
      <c r="J19" s="498"/>
      <c r="K19" s="498">
        <f>2341-40+17</f>
        <v>2318</v>
      </c>
      <c r="L19" s="498"/>
      <c r="M19" s="498">
        <f>1842-98-2-42+73</f>
        <v>1773</v>
      </c>
      <c r="N19" s="498"/>
      <c r="O19" s="498">
        <f>-1083+30-694-136</f>
        <v>-1883</v>
      </c>
      <c r="P19" s="498"/>
      <c r="Q19" s="498">
        <f>SUM(E19:O19)</f>
        <v>8994</v>
      </c>
      <c r="R19" s="498"/>
    </row>
    <row r="20" spans="3:17" ht="12.75">
      <c r="C20" t="s">
        <v>289</v>
      </c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</row>
    <row r="21" spans="3:17" ht="12.75">
      <c r="C21" t="s">
        <v>290</v>
      </c>
      <c r="E21" s="498">
        <v>0</v>
      </c>
      <c r="F21" s="498"/>
      <c r="G21" s="498">
        <v>0</v>
      </c>
      <c r="H21" s="498">
        <v>0</v>
      </c>
      <c r="I21" s="498">
        <v>0</v>
      </c>
      <c r="J21" s="498">
        <v>0</v>
      </c>
      <c r="K21" s="498">
        <v>0</v>
      </c>
      <c r="L21" s="498">
        <v>0</v>
      </c>
      <c r="M21" s="498">
        <v>0</v>
      </c>
      <c r="N21" s="498">
        <v>0</v>
      </c>
      <c r="O21" s="498">
        <v>0</v>
      </c>
      <c r="P21" s="498">
        <v>0</v>
      </c>
      <c r="Q21" s="501">
        <f aca="true" t="shared" si="1" ref="Q21:Q26">SUM(E21:O21)</f>
        <v>0</v>
      </c>
    </row>
    <row r="22" spans="3:18" ht="12.75">
      <c r="C22" t="s">
        <v>291</v>
      </c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>
        <f>SUM(Q19:Q21)</f>
        <v>8994</v>
      </c>
      <c r="R22" s="498"/>
    </row>
    <row r="23" spans="3:17" ht="12.75">
      <c r="C23" t="s">
        <v>292</v>
      </c>
      <c r="E23" s="498">
        <v>-106</v>
      </c>
      <c r="F23" s="498"/>
      <c r="G23" s="498">
        <v>-281</v>
      </c>
      <c r="H23" s="498"/>
      <c r="I23" s="498">
        <v>0</v>
      </c>
      <c r="J23" s="498"/>
      <c r="K23" s="498">
        <v>-378</v>
      </c>
      <c r="L23" s="498"/>
      <c r="M23" s="498">
        <v>-354</v>
      </c>
      <c r="N23" s="498"/>
      <c r="O23" s="498">
        <v>136</v>
      </c>
      <c r="P23" s="498"/>
      <c r="Q23" s="498">
        <f t="shared" si="1"/>
        <v>-983</v>
      </c>
    </row>
    <row r="24" spans="3:17" ht="12.75">
      <c r="C24" t="s">
        <v>293</v>
      </c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>
        <f t="shared" si="1"/>
        <v>0</v>
      </c>
    </row>
    <row r="25" spans="3:17" ht="12.75">
      <c r="C25" t="s">
        <v>294</v>
      </c>
      <c r="E25" s="498">
        <v>0</v>
      </c>
      <c r="F25" s="498"/>
      <c r="G25" s="498">
        <v>0</v>
      </c>
      <c r="H25" s="498"/>
      <c r="I25" s="498">
        <v>0</v>
      </c>
      <c r="J25" s="498"/>
      <c r="K25" s="498">
        <v>0</v>
      </c>
      <c r="L25" s="498"/>
      <c r="M25" s="498">
        <v>0</v>
      </c>
      <c r="N25" s="498"/>
      <c r="O25" s="498">
        <v>0</v>
      </c>
      <c r="P25" s="498"/>
      <c r="Q25" s="498">
        <v>-84</v>
      </c>
    </row>
    <row r="26" spans="3:17" ht="12.75">
      <c r="C26" t="s">
        <v>7</v>
      </c>
      <c r="E26" s="498">
        <v>-666</v>
      </c>
      <c r="F26" s="498"/>
      <c r="G26" s="498">
        <v>0</v>
      </c>
      <c r="H26" s="498"/>
      <c r="I26" s="498">
        <v>-1359</v>
      </c>
      <c r="J26" s="498"/>
      <c r="K26" s="498">
        <f>-540-5</f>
        <v>-545</v>
      </c>
      <c r="L26" s="498"/>
      <c r="M26" s="498">
        <f>-21-389</f>
        <v>-410</v>
      </c>
      <c r="N26" s="498"/>
      <c r="O26" s="498">
        <v>0</v>
      </c>
      <c r="P26" s="498"/>
      <c r="Q26" s="498">
        <f t="shared" si="1"/>
        <v>-2980</v>
      </c>
    </row>
    <row r="27" spans="3:17" ht="13.5" thickBot="1">
      <c r="C27" t="s">
        <v>295</v>
      </c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9">
        <f>SUM(Q22:Q26)</f>
        <v>4947</v>
      </c>
    </row>
    <row r="28" spans="5:17" ht="13.5" thickTop="1"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</row>
    <row r="30" spans="2:17" ht="12.75">
      <c r="B30" t="s">
        <v>296</v>
      </c>
      <c r="E30" s="18" t="s">
        <v>271</v>
      </c>
      <c r="G30" s="18" t="s">
        <v>272</v>
      </c>
      <c r="H30" s="18"/>
      <c r="I30" s="18" t="s">
        <v>273</v>
      </c>
      <c r="J30" s="18"/>
      <c r="K30" s="18" t="s">
        <v>274</v>
      </c>
      <c r="L30" s="18"/>
      <c r="M30" s="18" t="s">
        <v>275</v>
      </c>
      <c r="N30" s="18"/>
      <c r="O30" s="18" t="s">
        <v>276</v>
      </c>
      <c r="P30" s="18"/>
      <c r="Q30" s="18" t="s">
        <v>277</v>
      </c>
    </row>
    <row r="31" spans="5:17" ht="12.75">
      <c r="E31" s="18" t="s">
        <v>278</v>
      </c>
      <c r="G31" s="18" t="s">
        <v>279</v>
      </c>
      <c r="H31" s="18"/>
      <c r="I31" s="18"/>
      <c r="J31" s="18"/>
      <c r="K31" s="18" t="s">
        <v>280</v>
      </c>
      <c r="L31" s="18"/>
      <c r="M31" s="18" t="s">
        <v>281</v>
      </c>
      <c r="N31" s="18"/>
      <c r="O31" s="18"/>
      <c r="P31" s="18"/>
      <c r="Q31" s="18"/>
    </row>
    <row r="32" spans="5:17" ht="12.75">
      <c r="E32" s="18" t="s">
        <v>282</v>
      </c>
      <c r="G32" s="18"/>
      <c r="H32" s="18"/>
      <c r="I32" s="18"/>
      <c r="J32" s="18"/>
      <c r="K32" s="18"/>
      <c r="L32" s="18"/>
      <c r="M32" s="18" t="s">
        <v>221</v>
      </c>
      <c r="N32" s="18"/>
      <c r="O32" s="18"/>
      <c r="P32" s="18"/>
      <c r="Q32" s="18"/>
    </row>
    <row r="33" spans="5:17" ht="12.75">
      <c r="E33" s="497" t="s">
        <v>855</v>
      </c>
      <c r="G33" s="497" t="s">
        <v>855</v>
      </c>
      <c r="H33" s="497"/>
      <c r="I33" s="497" t="s">
        <v>855</v>
      </c>
      <c r="J33" s="497"/>
      <c r="K33" s="497" t="s">
        <v>855</v>
      </c>
      <c r="L33" s="497"/>
      <c r="M33" s="497" t="s">
        <v>855</v>
      </c>
      <c r="N33" s="497"/>
      <c r="O33" s="497" t="s">
        <v>855</v>
      </c>
      <c r="P33" s="497"/>
      <c r="Q33" s="497" t="s">
        <v>855</v>
      </c>
    </row>
    <row r="35" ht="12.75">
      <c r="B35" s="18" t="s">
        <v>297</v>
      </c>
    </row>
    <row r="36" spans="2:19" ht="12.75">
      <c r="B36" t="s">
        <v>298</v>
      </c>
      <c r="E36" s="498">
        <f>52502+10267+39</f>
        <v>62808</v>
      </c>
      <c r="F36" s="498"/>
      <c r="G36" s="498">
        <f>8701+55543</f>
        <v>64244</v>
      </c>
      <c r="H36" s="498"/>
      <c r="I36" s="498">
        <f>73322+93359+2576</f>
        <v>169257</v>
      </c>
      <c r="J36" s="498"/>
      <c r="K36" s="498">
        <f>86550+33933+38357+9906+4</f>
        <v>168750</v>
      </c>
      <c r="L36" s="498"/>
      <c r="M36" s="498">
        <f>126341+4648+228264+11281+41+94279+3+1458</f>
        <v>466315</v>
      </c>
      <c r="N36" s="498"/>
      <c r="O36" s="498">
        <v>-295055</v>
      </c>
      <c r="P36" s="498"/>
      <c r="Q36" s="498">
        <f>SUM(E36:O36)</f>
        <v>636319</v>
      </c>
      <c r="R36" s="498"/>
      <c r="S36" s="498"/>
    </row>
    <row r="37" spans="2:18" ht="12.75">
      <c r="B37" t="s">
        <v>299</v>
      </c>
      <c r="E37" s="498"/>
      <c r="F37" s="498"/>
      <c r="G37" s="498"/>
      <c r="H37" s="498"/>
      <c r="I37" s="498"/>
      <c r="J37" s="498"/>
      <c r="K37" s="498"/>
      <c r="L37" s="498"/>
      <c r="M37" s="498">
        <v>3992</v>
      </c>
      <c r="N37" s="498"/>
      <c r="O37" s="498">
        <v>-1294</v>
      </c>
      <c r="P37" s="498"/>
      <c r="Q37" s="498">
        <f>M37+O37</f>
        <v>2698</v>
      </c>
      <c r="R37" s="498"/>
    </row>
    <row r="38" spans="3:17" ht="12.75">
      <c r="C38" t="s">
        <v>300</v>
      </c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</row>
    <row r="39" spans="2:17" ht="12.75">
      <c r="B39" t="s">
        <v>289</v>
      </c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</row>
    <row r="40" spans="2:17" ht="12.75">
      <c r="B40" t="s">
        <v>290</v>
      </c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</row>
    <row r="41" spans="2:17" ht="13.5" thickBot="1">
      <c r="B41" t="s">
        <v>301</v>
      </c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9">
        <f>SUM(Q36:Q40)</f>
        <v>639017</v>
      </c>
    </row>
    <row r="42" spans="5:17" ht="13.5" thickTop="1"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</row>
    <row r="43" spans="5:17" ht="12.75"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</row>
    <row r="44" spans="2:19" ht="12.75">
      <c r="B44" t="s">
        <v>302</v>
      </c>
      <c r="E44" s="498">
        <f>-16603-754-541-277</f>
        <v>-18175</v>
      </c>
      <c r="F44" s="498"/>
      <c r="G44" s="498">
        <f>-7503-5000-159-3448-220</f>
        <v>-16330</v>
      </c>
      <c r="H44" s="498"/>
      <c r="I44" s="498">
        <f>-16414-2917-317-73390</f>
        <v>-93038</v>
      </c>
      <c r="J44" s="498"/>
      <c r="K44" s="498">
        <f>-32395-23-55-106425-374-9519</f>
        <v>-148791</v>
      </c>
      <c r="L44" s="498"/>
      <c r="M44" s="498">
        <f>-105314-34-5-94316-401-32</f>
        <v>-200102</v>
      </c>
      <c r="N44" s="498"/>
      <c r="O44" s="498">
        <v>158528</v>
      </c>
      <c r="P44" s="498"/>
      <c r="Q44" s="498">
        <f>SUM(E44:O44)</f>
        <v>-317908</v>
      </c>
      <c r="S44" s="498"/>
    </row>
    <row r="45" spans="2:17" ht="12.75">
      <c r="B45" t="s">
        <v>289</v>
      </c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</row>
    <row r="46" spans="2:17" ht="12.75">
      <c r="B46" t="s">
        <v>290</v>
      </c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</row>
    <row r="47" spans="2:17" ht="13.5" thickBot="1">
      <c r="B47" t="s">
        <v>303</v>
      </c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9">
        <f>SUM(Q44:Q46)</f>
        <v>-317908</v>
      </c>
    </row>
    <row r="48" spans="5:17" ht="13.5" thickTop="1"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</row>
    <row r="49" spans="5:17" ht="12.75"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</row>
    <row r="50" spans="2:17" ht="12.75">
      <c r="B50" s="18" t="s">
        <v>304</v>
      </c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</row>
    <row r="51" spans="2:17" ht="12.75">
      <c r="B51" t="s">
        <v>305</v>
      </c>
      <c r="E51" s="498">
        <v>1039</v>
      </c>
      <c r="F51" s="498"/>
      <c r="G51" s="498">
        <v>771</v>
      </c>
      <c r="H51" s="498"/>
      <c r="I51" s="498">
        <v>1770</v>
      </c>
      <c r="J51" s="498"/>
      <c r="K51" s="498">
        <v>40</v>
      </c>
      <c r="L51" s="498"/>
      <c r="M51" s="498">
        <v>98</v>
      </c>
      <c r="N51" s="498"/>
      <c r="O51" s="498">
        <v>1083</v>
      </c>
      <c r="P51" s="498"/>
      <c r="Q51" s="498">
        <f>SUM(E51:O51)</f>
        <v>4801</v>
      </c>
    </row>
    <row r="52" spans="2:17" ht="12.75">
      <c r="B52" t="s">
        <v>306</v>
      </c>
      <c r="E52" s="498">
        <v>0</v>
      </c>
      <c r="F52" s="498"/>
      <c r="G52" s="498">
        <v>0</v>
      </c>
      <c r="H52" s="498"/>
      <c r="I52" s="498">
        <v>0</v>
      </c>
      <c r="J52" s="498"/>
      <c r="K52" s="498">
        <v>0</v>
      </c>
      <c r="L52" s="498"/>
      <c r="M52" s="498">
        <v>0</v>
      </c>
      <c r="N52" s="498"/>
      <c r="O52" s="498">
        <v>0</v>
      </c>
      <c r="P52" s="498"/>
      <c r="Q52" s="498">
        <f aca="true" t="shared" si="2" ref="Q52:Q58">SUM(E52:O52)</f>
        <v>0</v>
      </c>
    </row>
    <row r="53" spans="2:17" ht="12.75">
      <c r="B53" t="s">
        <v>307</v>
      </c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</row>
    <row r="54" spans="3:17" ht="12.75">
      <c r="C54" t="s">
        <v>308</v>
      </c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</row>
    <row r="55" spans="3:17" ht="12.75">
      <c r="C55" t="s">
        <v>309</v>
      </c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</row>
    <row r="56" spans="3:17" ht="12.75">
      <c r="C56" s="358" t="s">
        <v>310</v>
      </c>
      <c r="E56" s="498">
        <v>0</v>
      </c>
      <c r="F56" s="498"/>
      <c r="G56" s="498">
        <v>0</v>
      </c>
      <c r="H56" s="498"/>
      <c r="I56" s="498">
        <v>0</v>
      </c>
      <c r="J56" s="498"/>
      <c r="K56" s="498">
        <v>0</v>
      </c>
      <c r="L56" s="498"/>
      <c r="M56" s="498">
        <v>0</v>
      </c>
      <c r="N56" s="498"/>
      <c r="O56" s="498">
        <v>0</v>
      </c>
      <c r="P56" s="498"/>
      <c r="Q56" s="498">
        <f t="shared" si="2"/>
        <v>0</v>
      </c>
    </row>
    <row r="57" spans="3:17" ht="12.75">
      <c r="C57" t="s">
        <v>331</v>
      </c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</row>
    <row r="58" spans="3:17" ht="12.75">
      <c r="C58" s="358" t="s">
        <v>332</v>
      </c>
      <c r="E58" s="498">
        <v>0</v>
      </c>
      <c r="F58" s="498"/>
      <c r="G58" s="498">
        <v>0</v>
      </c>
      <c r="H58" s="498"/>
      <c r="I58" s="498">
        <v>0</v>
      </c>
      <c r="J58" s="498"/>
      <c r="K58" s="498">
        <v>0</v>
      </c>
      <c r="L58" s="498"/>
      <c r="M58" s="498">
        <v>0</v>
      </c>
      <c r="N58" s="498"/>
      <c r="O58" s="498">
        <v>0</v>
      </c>
      <c r="P58" s="498"/>
      <c r="Q58" s="498">
        <f t="shared" si="2"/>
        <v>0</v>
      </c>
    </row>
    <row r="59" spans="5:17" ht="12.75"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</row>
    <row r="61" ht="12.75">
      <c r="B61" t="s">
        <v>333</v>
      </c>
    </row>
  </sheetData>
  <printOptions/>
  <pageMargins left="0.51" right="0.75" top="0.84" bottom="0.68" header="0.44" footer="0.35"/>
  <pageSetup horizontalDpi="360" verticalDpi="36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0.7109375" style="0" customWidth="1"/>
    <col min="4" max="4" width="2.00390625" style="0" customWidth="1"/>
    <col min="5" max="5" width="16.8515625" style="0" customWidth="1"/>
    <col min="6" max="6" width="2.28125" style="0" customWidth="1"/>
    <col min="8" max="8" width="2.57421875" style="0" customWidth="1"/>
    <col min="9" max="9" width="12.140625" style="0" customWidth="1"/>
    <col min="10" max="10" width="2.57421875" style="0" customWidth="1"/>
    <col min="11" max="11" width="12.421875" style="0" customWidth="1"/>
    <col min="12" max="12" width="2.421875" style="0" customWidth="1"/>
    <col min="13" max="13" width="11.57421875" style="0" customWidth="1"/>
    <col min="14" max="14" width="2.57421875" style="0" customWidth="1"/>
    <col min="15" max="15" width="11.8515625" style="0" customWidth="1"/>
    <col min="16" max="16" width="2.57421875" style="0" customWidth="1"/>
    <col min="17" max="17" width="15.57421875" style="0" customWidth="1"/>
  </cols>
  <sheetData>
    <row r="1" ht="12.75">
      <c r="Q1" s="18" t="s">
        <v>940</v>
      </c>
    </row>
    <row r="3" spans="1:2" ht="12.75">
      <c r="A3">
        <v>14</v>
      </c>
      <c r="B3" t="s">
        <v>268</v>
      </c>
    </row>
    <row r="4" ht="12.75">
      <c r="B4" t="s">
        <v>423</v>
      </c>
    </row>
    <row r="6" ht="12.75">
      <c r="B6" t="s">
        <v>270</v>
      </c>
    </row>
    <row r="8" spans="5:17" ht="12.75">
      <c r="E8" s="18" t="s">
        <v>271</v>
      </c>
      <c r="G8" s="18" t="s">
        <v>272</v>
      </c>
      <c r="H8" s="18"/>
      <c r="I8" s="18" t="s">
        <v>273</v>
      </c>
      <c r="J8" s="18"/>
      <c r="K8" s="18" t="s">
        <v>274</v>
      </c>
      <c r="L8" s="18"/>
      <c r="M8" s="18" t="s">
        <v>275</v>
      </c>
      <c r="N8" s="18"/>
      <c r="O8" s="497" t="s">
        <v>939</v>
      </c>
      <c r="P8" s="18"/>
      <c r="Q8" s="497" t="s">
        <v>938</v>
      </c>
    </row>
    <row r="9" spans="5:17" ht="12.75">
      <c r="E9" s="18" t="s">
        <v>278</v>
      </c>
      <c r="G9" s="18" t="s">
        <v>279</v>
      </c>
      <c r="H9" s="18"/>
      <c r="I9" s="18"/>
      <c r="J9" s="18"/>
      <c r="K9" s="18" t="s">
        <v>280</v>
      </c>
      <c r="L9" s="18"/>
      <c r="M9" s="18" t="s">
        <v>281</v>
      </c>
      <c r="N9" s="18"/>
      <c r="O9" s="18"/>
      <c r="P9" s="18"/>
      <c r="Q9" s="18"/>
    </row>
    <row r="10" spans="5:17" ht="12.75">
      <c r="E10" s="18" t="s">
        <v>282</v>
      </c>
      <c r="G10" s="18"/>
      <c r="H10" s="18"/>
      <c r="I10" s="18"/>
      <c r="J10" s="18"/>
      <c r="K10" s="18"/>
      <c r="L10" s="18"/>
      <c r="M10" s="18" t="s">
        <v>221</v>
      </c>
      <c r="N10" s="18"/>
      <c r="O10" s="18"/>
      <c r="P10" s="18"/>
      <c r="Q10" s="18"/>
    </row>
    <row r="11" spans="5:17" ht="12.75">
      <c r="E11" s="497" t="s">
        <v>855</v>
      </c>
      <c r="G11" s="497" t="s">
        <v>855</v>
      </c>
      <c r="H11" s="497"/>
      <c r="I11" s="497" t="s">
        <v>855</v>
      </c>
      <c r="J11" s="497"/>
      <c r="K11" s="497" t="s">
        <v>855</v>
      </c>
      <c r="L11" s="497"/>
      <c r="M11" s="497" t="s">
        <v>855</v>
      </c>
      <c r="N11" s="497"/>
      <c r="O11" s="497" t="s">
        <v>855</v>
      </c>
      <c r="P11" s="497"/>
      <c r="Q11" s="497" t="s">
        <v>855</v>
      </c>
    </row>
    <row r="12" ht="12.75">
      <c r="B12" s="357" t="s">
        <v>283</v>
      </c>
    </row>
    <row r="13" ht="12.75">
      <c r="B13" s="18" t="s">
        <v>752</v>
      </c>
    </row>
    <row r="14" spans="3:17" ht="12.75">
      <c r="C14" t="s">
        <v>284</v>
      </c>
      <c r="E14" s="498">
        <v>0</v>
      </c>
      <c r="F14" s="498"/>
      <c r="G14" s="498">
        <v>0</v>
      </c>
      <c r="H14" s="498"/>
      <c r="I14" s="498">
        <v>0</v>
      </c>
      <c r="J14" s="498"/>
      <c r="K14" s="498">
        <v>0</v>
      </c>
      <c r="L14" s="498"/>
      <c r="M14" s="498">
        <f>'cpl-2date'!C10</f>
        <v>1780</v>
      </c>
      <c r="N14" s="498"/>
      <c r="O14" s="498">
        <v>0</v>
      </c>
      <c r="P14" s="498"/>
      <c r="Q14" s="498">
        <f>M14</f>
        <v>1780</v>
      </c>
    </row>
    <row r="15" spans="3:17" ht="12.75">
      <c r="C15" t="s">
        <v>285</v>
      </c>
      <c r="E15" s="498">
        <v>0</v>
      </c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>
        <v>0</v>
      </c>
    </row>
    <row r="16" spans="2:17" ht="13.5" thickBot="1">
      <c r="B16" t="s">
        <v>286</v>
      </c>
      <c r="E16" s="499">
        <f>SUM(E14:E15)</f>
        <v>0</v>
      </c>
      <c r="F16" s="500"/>
      <c r="G16" s="499">
        <f aca="true" t="shared" si="0" ref="G16:O16">SUM(G14:G15)</f>
        <v>0</v>
      </c>
      <c r="H16" s="500"/>
      <c r="I16" s="499">
        <f t="shared" si="0"/>
        <v>0</v>
      </c>
      <c r="J16" s="500"/>
      <c r="K16" s="499">
        <f t="shared" si="0"/>
        <v>0</v>
      </c>
      <c r="L16" s="500"/>
      <c r="M16" s="499">
        <f t="shared" si="0"/>
        <v>1780</v>
      </c>
      <c r="N16" s="500"/>
      <c r="O16" s="499">
        <f t="shared" si="0"/>
        <v>0</v>
      </c>
      <c r="P16" s="500"/>
      <c r="Q16" s="499">
        <f>SUM(Q14:Q15)</f>
        <v>1780</v>
      </c>
    </row>
    <row r="17" spans="5:17" ht="13.5" thickTop="1"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</row>
    <row r="18" spans="2:17" ht="12.75">
      <c r="B18" s="18" t="s">
        <v>287</v>
      </c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</row>
    <row r="19" spans="3:17" ht="12.75">
      <c r="C19" t="s">
        <v>288</v>
      </c>
      <c r="E19" s="498">
        <v>0</v>
      </c>
      <c r="F19" s="498"/>
      <c r="G19" s="498">
        <v>0</v>
      </c>
      <c r="H19" s="498"/>
      <c r="I19" s="498">
        <v>0</v>
      </c>
      <c r="J19" s="498"/>
      <c r="K19" s="498">
        <v>0</v>
      </c>
      <c r="L19" s="498"/>
      <c r="M19" s="498">
        <f>'cpl-2date'!C19</f>
        <v>1842</v>
      </c>
      <c r="N19" s="498"/>
      <c r="O19" s="498">
        <v>0</v>
      </c>
      <c r="P19" s="498"/>
      <c r="Q19" s="498">
        <f>M19</f>
        <v>1842</v>
      </c>
    </row>
    <row r="20" spans="3:17" ht="12.75">
      <c r="C20" t="s">
        <v>289</v>
      </c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</row>
    <row r="21" spans="3:17" ht="12.75">
      <c r="C21" t="s">
        <v>290</v>
      </c>
      <c r="E21" s="498">
        <v>0</v>
      </c>
      <c r="F21" s="498"/>
      <c r="G21" s="498">
        <v>0</v>
      </c>
      <c r="H21" s="498">
        <v>0</v>
      </c>
      <c r="I21" s="498">
        <v>0</v>
      </c>
      <c r="J21" s="498">
        <v>0</v>
      </c>
      <c r="K21" s="498">
        <v>0</v>
      </c>
      <c r="L21" s="498">
        <v>0</v>
      </c>
      <c r="M21" s="498">
        <f>-'cpl-2date'!C24</f>
        <v>-98</v>
      </c>
      <c r="N21" s="498">
        <v>0</v>
      </c>
      <c r="O21" s="498">
        <v>0</v>
      </c>
      <c r="P21" s="498">
        <v>0</v>
      </c>
      <c r="Q21" s="501">
        <f aca="true" t="shared" si="1" ref="Q21:Q26">SUM(E21:O21)</f>
        <v>-98</v>
      </c>
    </row>
    <row r="22" spans="3:17" ht="12.75">
      <c r="C22" t="s">
        <v>291</v>
      </c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>
        <f>Q19+Q21</f>
        <v>1744</v>
      </c>
    </row>
    <row r="23" spans="3:17" ht="12.75">
      <c r="C23" t="s">
        <v>292</v>
      </c>
      <c r="E23" s="498">
        <v>0</v>
      </c>
      <c r="F23" s="498"/>
      <c r="G23" s="498">
        <v>0</v>
      </c>
      <c r="H23" s="498"/>
      <c r="I23" s="498">
        <v>0</v>
      </c>
      <c r="J23" s="498"/>
      <c r="K23" s="498">
        <v>0</v>
      </c>
      <c r="L23" s="498"/>
      <c r="M23" s="498">
        <f>-'cpl-2date'!C22</f>
        <v>-354</v>
      </c>
      <c r="N23" s="498"/>
      <c r="O23" s="498">
        <v>0</v>
      </c>
      <c r="P23" s="498"/>
      <c r="Q23" s="498">
        <f t="shared" si="1"/>
        <v>-354</v>
      </c>
    </row>
    <row r="24" spans="3:17" ht="12.75">
      <c r="C24" t="s">
        <v>293</v>
      </c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>
        <f t="shared" si="1"/>
        <v>0</v>
      </c>
    </row>
    <row r="25" spans="3:17" ht="12.75">
      <c r="C25" t="s">
        <v>294</v>
      </c>
      <c r="E25" s="498">
        <v>0</v>
      </c>
      <c r="F25" s="498"/>
      <c r="G25" s="498">
        <v>0</v>
      </c>
      <c r="H25" s="498"/>
      <c r="I25" s="498">
        <v>0</v>
      </c>
      <c r="J25" s="498"/>
      <c r="K25" s="498">
        <v>0</v>
      </c>
      <c r="L25" s="498"/>
      <c r="M25" s="498">
        <v>0</v>
      </c>
      <c r="N25" s="498"/>
      <c r="O25" s="498">
        <v>0</v>
      </c>
      <c r="P25" s="498"/>
      <c r="Q25" s="498">
        <v>0</v>
      </c>
    </row>
    <row r="26" spans="3:17" ht="12.75">
      <c r="C26" t="s">
        <v>7</v>
      </c>
      <c r="E26" s="498">
        <v>0</v>
      </c>
      <c r="F26" s="498"/>
      <c r="G26" s="498">
        <v>0</v>
      </c>
      <c r="H26" s="498"/>
      <c r="I26" s="498">
        <v>0</v>
      </c>
      <c r="J26" s="498"/>
      <c r="K26" s="498">
        <v>0</v>
      </c>
      <c r="L26" s="498"/>
      <c r="M26" s="498">
        <f>-'cpl-2date'!C35</f>
        <v>-389</v>
      </c>
      <c r="N26" s="498"/>
      <c r="O26" s="498">
        <v>0</v>
      </c>
      <c r="P26" s="498"/>
      <c r="Q26" s="498">
        <f t="shared" si="1"/>
        <v>-389</v>
      </c>
    </row>
    <row r="27" spans="3:17" ht="13.5" thickBot="1">
      <c r="C27" t="s">
        <v>295</v>
      </c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9">
        <f>SUM(Q22:Q26)</f>
        <v>1001</v>
      </c>
    </row>
    <row r="28" spans="5:17" ht="13.5" thickTop="1"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</row>
    <row r="30" spans="2:17" ht="12.75">
      <c r="B30" t="s">
        <v>296</v>
      </c>
      <c r="E30" s="18" t="s">
        <v>271</v>
      </c>
      <c r="G30" s="18" t="s">
        <v>272</v>
      </c>
      <c r="H30" s="18"/>
      <c r="I30" s="18" t="s">
        <v>273</v>
      </c>
      <c r="J30" s="18"/>
      <c r="K30" s="18" t="s">
        <v>274</v>
      </c>
      <c r="L30" s="18"/>
      <c r="M30" s="18" t="s">
        <v>275</v>
      </c>
      <c r="N30" s="18"/>
      <c r="O30" s="497" t="s">
        <v>939</v>
      </c>
      <c r="P30" s="18"/>
      <c r="Q30" s="497" t="s">
        <v>938</v>
      </c>
    </row>
    <row r="31" spans="5:17" ht="12.75">
      <c r="E31" s="18" t="s">
        <v>278</v>
      </c>
      <c r="G31" s="18" t="s">
        <v>279</v>
      </c>
      <c r="H31" s="18"/>
      <c r="I31" s="18"/>
      <c r="J31" s="18"/>
      <c r="K31" s="18" t="s">
        <v>280</v>
      </c>
      <c r="L31" s="18"/>
      <c r="M31" s="18" t="s">
        <v>281</v>
      </c>
      <c r="N31" s="18"/>
      <c r="O31" s="18"/>
      <c r="P31" s="18"/>
      <c r="Q31" s="18"/>
    </row>
    <row r="32" spans="5:17" ht="12.75">
      <c r="E32" s="18" t="s">
        <v>282</v>
      </c>
      <c r="G32" s="18"/>
      <c r="H32" s="18"/>
      <c r="I32" s="18"/>
      <c r="J32" s="18"/>
      <c r="K32" s="18"/>
      <c r="L32" s="18"/>
      <c r="M32" s="18" t="s">
        <v>221</v>
      </c>
      <c r="N32" s="18"/>
      <c r="O32" s="18"/>
      <c r="P32" s="18"/>
      <c r="Q32" s="18"/>
    </row>
    <row r="33" spans="5:17" ht="12.75">
      <c r="E33" s="497" t="s">
        <v>855</v>
      </c>
      <c r="G33" s="497" t="s">
        <v>855</v>
      </c>
      <c r="H33" s="497"/>
      <c r="I33" s="497" t="s">
        <v>855</v>
      </c>
      <c r="J33" s="497"/>
      <c r="K33" s="497" t="s">
        <v>855</v>
      </c>
      <c r="L33" s="497"/>
      <c r="M33" s="497" t="s">
        <v>855</v>
      </c>
      <c r="N33" s="497"/>
      <c r="O33" s="497" t="s">
        <v>855</v>
      </c>
      <c r="P33" s="497"/>
      <c r="Q33" s="497" t="s">
        <v>855</v>
      </c>
    </row>
    <row r="35" ht="12.75">
      <c r="B35" s="18" t="s">
        <v>297</v>
      </c>
    </row>
    <row r="36" spans="2:17" ht="12.75">
      <c r="B36" t="s">
        <v>298</v>
      </c>
      <c r="E36" s="498">
        <v>0</v>
      </c>
      <c r="F36" s="498"/>
      <c r="G36" s="498">
        <v>0</v>
      </c>
      <c r="H36" s="498"/>
      <c r="I36" s="498">
        <v>0</v>
      </c>
      <c r="J36" s="498"/>
      <c r="K36" s="498">
        <v>0</v>
      </c>
      <c r="L36" s="498"/>
      <c r="M36" s="498">
        <f>'cbs(w)'!B20+'cbs(w)'!B37+'cbs(w)'!B38+'cbs(w)'!B39+'cbs(w)'!B40+'cbs(w)'!B41+'cbs(w)'!B26</f>
        <v>375630</v>
      </c>
      <c r="N36" s="498"/>
      <c r="O36" s="498">
        <v>0</v>
      </c>
      <c r="P36" s="498"/>
      <c r="Q36" s="498">
        <f>SUM(E36:O36)</f>
        <v>375630</v>
      </c>
    </row>
    <row r="37" spans="2:17" ht="12.75">
      <c r="B37" t="s">
        <v>299</v>
      </c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</row>
    <row r="38" spans="3:17" ht="12.75">
      <c r="C38" t="s">
        <v>300</v>
      </c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</row>
    <row r="39" spans="2:17" ht="12.75">
      <c r="B39" t="s">
        <v>289</v>
      </c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</row>
    <row r="40" spans="2:17" ht="12.75">
      <c r="B40" t="s">
        <v>290</v>
      </c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</row>
    <row r="41" spans="2:17" ht="13.5" thickBot="1">
      <c r="B41" t="s">
        <v>424</v>
      </c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9">
        <f>SUM(Q36:Q40)</f>
        <v>375630</v>
      </c>
    </row>
    <row r="42" spans="5:17" ht="13.5" thickTop="1"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</row>
    <row r="43" spans="5:17" ht="12.75"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</row>
    <row r="44" spans="2:17" ht="12.75">
      <c r="B44" t="s">
        <v>302</v>
      </c>
      <c r="E44" s="498">
        <v>0</v>
      </c>
      <c r="F44" s="498"/>
      <c r="G44" s="498">
        <v>0</v>
      </c>
      <c r="H44" s="498"/>
      <c r="I44" s="498">
        <v>0</v>
      </c>
      <c r="J44" s="498"/>
      <c r="K44" s="498">
        <v>0</v>
      </c>
      <c r="L44" s="498"/>
      <c r="M44" s="498">
        <f>-'cbs(w)'!B34+'cbs(w)'!B48</f>
        <v>-105348</v>
      </c>
      <c r="N44" s="498"/>
      <c r="O44" s="498">
        <v>0</v>
      </c>
      <c r="P44" s="498"/>
      <c r="Q44" s="498">
        <f>SUM(E44:O44)</f>
        <v>-105348</v>
      </c>
    </row>
    <row r="45" spans="2:17" ht="12.75">
      <c r="B45" t="s">
        <v>289</v>
      </c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</row>
    <row r="46" spans="2:17" ht="12.75">
      <c r="B46" t="s">
        <v>290</v>
      </c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</row>
    <row r="47" spans="2:17" ht="13.5" thickBot="1">
      <c r="B47" t="s">
        <v>425</v>
      </c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9">
        <f>SUM(Q44:Q46)</f>
        <v>-105348</v>
      </c>
    </row>
    <row r="48" spans="5:17" ht="13.5" thickTop="1"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</row>
    <row r="49" spans="5:17" ht="12.75"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</row>
    <row r="50" spans="2:17" ht="12.75">
      <c r="B50" s="18" t="s">
        <v>304</v>
      </c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</row>
    <row r="51" spans="2:17" ht="12.75">
      <c r="B51" t="s">
        <v>305</v>
      </c>
      <c r="E51" s="498">
        <v>0</v>
      </c>
      <c r="F51" s="498"/>
      <c r="G51" s="498">
        <v>0</v>
      </c>
      <c r="H51" s="498"/>
      <c r="I51" s="498">
        <v>0</v>
      </c>
      <c r="J51" s="498"/>
      <c r="K51" s="498">
        <v>0</v>
      </c>
      <c r="L51" s="498"/>
      <c r="M51" s="498">
        <v>49</v>
      </c>
      <c r="N51" s="498"/>
      <c r="O51" s="498">
        <v>0</v>
      </c>
      <c r="P51" s="498"/>
      <c r="Q51" s="498">
        <f>SUM(E51:O51)</f>
        <v>49</v>
      </c>
    </row>
    <row r="52" spans="2:17" ht="12.75">
      <c r="B52" t="s">
        <v>306</v>
      </c>
      <c r="E52" s="498">
        <v>0</v>
      </c>
      <c r="F52" s="498"/>
      <c r="G52" s="498">
        <v>0</v>
      </c>
      <c r="H52" s="498"/>
      <c r="I52" s="498">
        <v>0</v>
      </c>
      <c r="J52" s="498"/>
      <c r="K52" s="498">
        <v>0</v>
      </c>
      <c r="L52" s="498"/>
      <c r="M52" s="498">
        <f>'cpl-2date'!C24</f>
        <v>98</v>
      </c>
      <c r="N52" s="498"/>
      <c r="O52" s="498">
        <v>0</v>
      </c>
      <c r="P52" s="498"/>
      <c r="Q52" s="498">
        <f aca="true" t="shared" si="2" ref="Q52:Q58">SUM(E52:O52)</f>
        <v>98</v>
      </c>
    </row>
    <row r="53" spans="2:17" ht="12.75">
      <c r="B53" t="s">
        <v>307</v>
      </c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</row>
    <row r="54" spans="3:17" ht="12.75">
      <c r="C54" t="s">
        <v>308</v>
      </c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</row>
    <row r="55" spans="3:17" ht="12.75">
      <c r="C55" t="s">
        <v>309</v>
      </c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</row>
    <row r="56" spans="3:17" ht="12.75">
      <c r="C56" s="358" t="s">
        <v>310</v>
      </c>
      <c r="E56" s="498">
        <v>0</v>
      </c>
      <c r="F56" s="498"/>
      <c r="G56" s="498">
        <v>0</v>
      </c>
      <c r="H56" s="498"/>
      <c r="I56" s="498">
        <v>0</v>
      </c>
      <c r="J56" s="498"/>
      <c r="K56" s="498">
        <v>0</v>
      </c>
      <c r="L56" s="498"/>
      <c r="M56" s="498">
        <v>0</v>
      </c>
      <c r="N56" s="498"/>
      <c r="O56" s="498">
        <v>0</v>
      </c>
      <c r="P56" s="498"/>
      <c r="Q56" s="498">
        <f t="shared" si="2"/>
        <v>0</v>
      </c>
    </row>
    <row r="57" spans="3:17" ht="12.75">
      <c r="C57" t="s">
        <v>331</v>
      </c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</row>
    <row r="58" spans="3:17" ht="12.75">
      <c r="C58" s="358" t="s">
        <v>332</v>
      </c>
      <c r="E58" s="498">
        <v>0</v>
      </c>
      <c r="F58" s="498"/>
      <c r="G58" s="498">
        <v>0</v>
      </c>
      <c r="H58" s="498"/>
      <c r="I58" s="498">
        <v>0</v>
      </c>
      <c r="J58" s="498"/>
      <c r="K58" s="498">
        <v>0</v>
      </c>
      <c r="L58" s="498"/>
      <c r="M58" s="498">
        <v>0</v>
      </c>
      <c r="N58" s="498"/>
      <c r="O58" s="498">
        <v>0</v>
      </c>
      <c r="P58" s="498"/>
      <c r="Q58" s="498">
        <f t="shared" si="2"/>
        <v>0</v>
      </c>
    </row>
    <row r="59" spans="5:17" ht="12.75"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</row>
    <row r="61" ht="12.75">
      <c r="B61" t="s">
        <v>333</v>
      </c>
    </row>
  </sheetData>
  <printOptions/>
  <pageMargins left="0.75" right="0.75" top="0.94" bottom="1" header="0.5" footer="0.5"/>
  <pageSetup horizontalDpi="360" verticalDpi="36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9"/>
  <sheetViews>
    <sheetView workbookViewId="0" topLeftCell="A1">
      <pane xSplit="2" topLeftCell="C1" activePane="topRight" state="frozen"/>
      <selection pane="topLeft" activeCell="A24" sqref="A24"/>
      <selection pane="topRight" activeCell="E12" sqref="E12"/>
    </sheetView>
  </sheetViews>
  <sheetFormatPr defaultColWidth="9.140625" defaultRowHeight="12.75"/>
  <cols>
    <col min="1" max="1" width="3.7109375" style="0" customWidth="1"/>
    <col min="2" max="2" width="25.57421875" style="0" customWidth="1"/>
    <col min="3" max="3" width="9.00390625" style="0" customWidth="1"/>
    <col min="4" max="4" width="8.7109375" style="0" customWidth="1"/>
    <col min="5" max="5" width="9.7109375" style="0" customWidth="1"/>
    <col min="6" max="6" width="9.28125" style="0" customWidth="1"/>
    <col min="7" max="7" width="11.00390625" style="0" customWidth="1"/>
    <col min="8" max="8" width="9.7109375" style="0" customWidth="1"/>
    <col min="9" max="9" width="8.7109375" style="0" customWidth="1"/>
    <col min="10" max="11" width="8.421875" style="0" customWidth="1"/>
    <col min="12" max="12" width="10.421875" style="0" customWidth="1"/>
    <col min="13" max="13" width="9.28125" style="0" customWidth="1"/>
    <col min="14" max="14" width="8.140625" style="0" customWidth="1"/>
    <col min="15" max="15" width="9.8515625" style="0" customWidth="1"/>
    <col min="16" max="16" width="11.421875" style="0" customWidth="1"/>
  </cols>
  <sheetData>
    <row r="1" spans="1:16" ht="12.75">
      <c r="A1" s="5" t="s">
        <v>95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5" t="s">
        <v>199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5" t="s">
        <v>438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408</v>
      </c>
      <c r="B4" s="1"/>
      <c r="C4" s="1"/>
      <c r="D4" s="1"/>
      <c r="E4" s="1" t="s">
        <v>703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3"/>
      <c r="B6" s="33"/>
      <c r="C6" s="34" t="s">
        <v>96</v>
      </c>
      <c r="D6" s="35" t="s">
        <v>97</v>
      </c>
      <c r="E6" s="390" t="s">
        <v>98</v>
      </c>
      <c r="F6" s="390" t="s">
        <v>524</v>
      </c>
      <c r="G6" s="390" t="s">
        <v>100</v>
      </c>
      <c r="H6" s="35" t="s">
        <v>101</v>
      </c>
      <c r="I6" s="35" t="s">
        <v>102</v>
      </c>
      <c r="J6" s="34" t="s">
        <v>103</v>
      </c>
      <c r="K6" s="34" t="s">
        <v>104</v>
      </c>
      <c r="L6" s="35" t="s">
        <v>105</v>
      </c>
      <c r="M6" s="607"/>
      <c r="N6" s="607"/>
      <c r="O6" s="72"/>
      <c r="P6" s="72"/>
    </row>
    <row r="7" spans="1:16" ht="12.75">
      <c r="A7" s="36"/>
      <c r="B7" s="36"/>
      <c r="C7" s="37" t="s">
        <v>107</v>
      </c>
      <c r="D7" s="38"/>
      <c r="E7" s="392" t="s">
        <v>108</v>
      </c>
      <c r="F7" s="492"/>
      <c r="G7" s="392" t="s">
        <v>110</v>
      </c>
      <c r="H7" s="39"/>
      <c r="I7" s="39"/>
      <c r="J7" s="37" t="s">
        <v>111</v>
      </c>
      <c r="K7" s="37"/>
      <c r="L7" s="38"/>
      <c r="M7" s="72"/>
      <c r="N7" s="72"/>
      <c r="O7" s="72"/>
      <c r="P7" s="72"/>
    </row>
    <row r="8" spans="1:16" ht="12.75">
      <c r="A8" s="40" t="s">
        <v>439</v>
      </c>
      <c r="B8" s="40"/>
      <c r="C8" s="41"/>
      <c r="D8" s="42">
        <v>1</v>
      </c>
      <c r="E8" s="42">
        <v>1</v>
      </c>
      <c r="F8" s="42">
        <v>1</v>
      </c>
      <c r="G8" s="43">
        <f>1-0.3884</f>
        <v>0.6115999999999999</v>
      </c>
      <c r="H8" s="40" t="s">
        <v>112</v>
      </c>
      <c r="I8" s="42">
        <v>1</v>
      </c>
      <c r="J8" s="44">
        <v>0.51</v>
      </c>
      <c r="K8" s="44">
        <v>1</v>
      </c>
      <c r="L8" s="42"/>
      <c r="M8" s="71"/>
      <c r="N8" s="71"/>
      <c r="O8" s="73"/>
      <c r="P8" s="72"/>
    </row>
    <row r="9" spans="1:16" ht="12.75">
      <c r="A9" s="33"/>
      <c r="B9" s="33"/>
      <c r="C9" s="48"/>
      <c r="D9" s="33"/>
      <c r="E9" s="33"/>
      <c r="F9" s="33"/>
      <c r="G9" s="33"/>
      <c r="H9" s="33"/>
      <c r="I9" s="33"/>
      <c r="J9" s="33"/>
      <c r="K9" s="33"/>
      <c r="L9" s="33"/>
      <c r="M9" s="23"/>
      <c r="N9" s="23"/>
      <c r="O9" s="23"/>
      <c r="P9" s="23"/>
    </row>
    <row r="10" spans="1:16" ht="12.75">
      <c r="A10" s="49" t="s">
        <v>73</v>
      </c>
      <c r="B10" s="40" t="s">
        <v>441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22"/>
      <c r="N10" s="22"/>
      <c r="O10" s="22"/>
      <c r="P10" s="22"/>
    </row>
    <row r="11" spans="1:16" ht="12.75">
      <c r="A11" s="52"/>
      <c r="B11" s="40" t="s">
        <v>780</v>
      </c>
      <c r="C11" s="50">
        <v>308</v>
      </c>
      <c r="D11" s="50">
        <v>459</v>
      </c>
      <c r="E11" s="50">
        <v>707</v>
      </c>
      <c r="F11" s="50">
        <v>2</v>
      </c>
      <c r="G11" s="50">
        <f>'cpl-qtr1'!H33</f>
        <v>0</v>
      </c>
      <c r="H11" s="50">
        <v>445</v>
      </c>
      <c r="I11" s="50">
        <f>'cpl-qtr1'!J33</f>
        <v>0</v>
      </c>
      <c r="J11" s="50">
        <f>'cpl-qtr1'!K33</f>
        <v>0</v>
      </c>
      <c r="K11" s="50">
        <v>21</v>
      </c>
      <c r="L11" s="50">
        <f>SUM(C11:K11)</f>
        <v>1942</v>
      </c>
      <c r="M11" s="74"/>
      <c r="N11" s="22"/>
      <c r="O11" s="22"/>
      <c r="P11" s="22"/>
    </row>
    <row r="12" spans="1:16" ht="12.75">
      <c r="A12" s="52"/>
      <c r="B12" s="40" t="s">
        <v>588</v>
      </c>
      <c r="C12" s="50"/>
      <c r="D12" s="50"/>
      <c r="E12" s="50"/>
      <c r="F12" s="50"/>
      <c r="G12" s="50"/>
      <c r="H12" s="50"/>
      <c r="I12" s="50"/>
      <c r="J12" s="50"/>
      <c r="K12" s="50"/>
      <c r="L12" s="59"/>
      <c r="M12" s="74"/>
      <c r="N12" s="22"/>
      <c r="O12" s="22"/>
      <c r="P12" s="22"/>
    </row>
    <row r="13" spans="1:16" ht="12.75">
      <c r="A13" s="52"/>
      <c r="B13" s="40"/>
      <c r="C13" s="50"/>
      <c r="D13" s="50"/>
      <c r="E13" s="50">
        <v>0</v>
      </c>
      <c r="F13" s="50"/>
      <c r="G13" s="50"/>
      <c r="H13" s="50"/>
      <c r="I13" s="50"/>
      <c r="J13" s="50"/>
      <c r="K13" s="50"/>
      <c r="L13" s="50">
        <f>SUM(L11:L12)</f>
        <v>1942</v>
      </c>
      <c r="M13" s="74"/>
      <c r="N13" s="22"/>
      <c r="O13" s="22"/>
      <c r="P13" s="22"/>
    </row>
    <row r="14" spans="1:16" ht="12.75">
      <c r="A14" s="52"/>
      <c r="B14" s="40" t="s">
        <v>440</v>
      </c>
      <c r="C14" s="50">
        <v>0</v>
      </c>
      <c r="D14" s="50">
        <v>0</v>
      </c>
      <c r="E14" s="333">
        <v>-48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0">
        <f>SUM(C14:K14)</f>
        <v>-48</v>
      </c>
      <c r="M14" s="74"/>
      <c r="N14" s="22"/>
      <c r="O14" s="22"/>
      <c r="P14" s="22"/>
    </row>
    <row r="15" spans="1:16" ht="12.75">
      <c r="A15" s="52"/>
      <c r="B15" s="40" t="s">
        <v>548</v>
      </c>
      <c r="C15" s="50">
        <v>0</v>
      </c>
      <c r="D15" s="51">
        <v>0</v>
      </c>
      <c r="E15" s="333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0">
        <f>SUM(C15:K15)</f>
        <v>0</v>
      </c>
      <c r="M15" s="22"/>
      <c r="N15" s="22"/>
      <c r="O15" s="22"/>
      <c r="P15" s="22"/>
    </row>
    <row r="16" spans="1:16" ht="12.75">
      <c r="A16" s="52"/>
      <c r="B16" s="40"/>
      <c r="C16" s="50"/>
      <c r="D16" s="51"/>
      <c r="E16" s="333"/>
      <c r="F16" s="51"/>
      <c r="G16" s="51"/>
      <c r="H16" s="51"/>
      <c r="I16" s="51"/>
      <c r="J16" s="51"/>
      <c r="K16" s="51"/>
      <c r="L16" s="50"/>
      <c r="M16" s="22"/>
      <c r="N16" s="22"/>
      <c r="O16" s="22"/>
      <c r="P16" s="22"/>
    </row>
    <row r="17" spans="1:16" ht="13.5" thickBot="1">
      <c r="A17" s="52"/>
      <c r="B17" s="40"/>
      <c r="C17" s="70">
        <f aca="true" t="shared" si="0" ref="C17:K17">SUM(C11:C15)</f>
        <v>308</v>
      </c>
      <c r="D17" s="70">
        <f t="shared" si="0"/>
        <v>459</v>
      </c>
      <c r="E17" s="493">
        <f t="shared" si="0"/>
        <v>659</v>
      </c>
      <c r="F17" s="70">
        <f t="shared" si="0"/>
        <v>2</v>
      </c>
      <c r="G17" s="70">
        <f t="shared" si="0"/>
        <v>0</v>
      </c>
      <c r="H17" s="70">
        <f t="shared" si="0"/>
        <v>445</v>
      </c>
      <c r="I17" s="70">
        <f t="shared" si="0"/>
        <v>0</v>
      </c>
      <c r="J17" s="70">
        <f t="shared" si="0"/>
        <v>0</v>
      </c>
      <c r="K17" s="70">
        <f t="shared" si="0"/>
        <v>21</v>
      </c>
      <c r="L17" s="70">
        <f>SUM(L13:L16)</f>
        <v>1894</v>
      </c>
      <c r="M17" s="22"/>
      <c r="N17" s="22"/>
      <c r="O17" s="22"/>
      <c r="P17" s="22"/>
    </row>
    <row r="18" spans="1:16" ht="13.5" thickTop="1">
      <c r="A18" s="49"/>
      <c r="B18" s="40"/>
      <c r="C18" s="50"/>
      <c r="D18" s="51"/>
      <c r="E18" s="333"/>
      <c r="F18" s="51"/>
      <c r="G18" s="51"/>
      <c r="H18" s="51"/>
      <c r="I18" s="51"/>
      <c r="J18" s="51"/>
      <c r="K18" s="51"/>
      <c r="L18" s="51"/>
      <c r="M18" s="22"/>
      <c r="N18" s="22"/>
      <c r="O18" s="22"/>
      <c r="P18" s="22"/>
    </row>
    <row r="19" spans="1:16" ht="12.75">
      <c r="A19" s="52"/>
      <c r="B19" s="40" t="s">
        <v>442</v>
      </c>
      <c r="C19" s="50"/>
      <c r="D19" s="51"/>
      <c r="E19" s="333"/>
      <c r="F19" s="51"/>
      <c r="G19" s="51"/>
      <c r="H19" s="51"/>
      <c r="I19" s="51"/>
      <c r="J19" s="51"/>
      <c r="K19" s="51"/>
      <c r="L19" s="51"/>
      <c r="M19" s="22"/>
      <c r="N19" s="22"/>
      <c r="O19" s="22"/>
      <c r="P19" s="22"/>
    </row>
    <row r="20" spans="1:16" ht="12.75">
      <c r="A20" s="49"/>
      <c r="B20" s="40" t="s">
        <v>780</v>
      </c>
      <c r="C20" s="50">
        <f>308+81</f>
        <v>389</v>
      </c>
      <c r="D20" s="50">
        <f>459+81</f>
        <v>540</v>
      </c>
      <c r="E20" s="50">
        <v>714</v>
      </c>
      <c r="F20" s="50">
        <v>5</v>
      </c>
      <c r="G20" s="50">
        <f>'cpl-qtr1'!H33</f>
        <v>0</v>
      </c>
      <c r="H20" s="50">
        <v>1359</v>
      </c>
      <c r="I20" s="50">
        <f>'cpl-qtr1'!J33</f>
        <v>0</v>
      </c>
      <c r="J20" s="50">
        <f>'cpl-qtr1'!K33</f>
        <v>0</v>
      </c>
      <c r="K20" s="50">
        <v>21</v>
      </c>
      <c r="L20" s="50">
        <f>SUM(C20:K20)</f>
        <v>3028</v>
      </c>
      <c r="M20" s="22"/>
      <c r="N20" s="22"/>
      <c r="O20" s="22"/>
      <c r="P20" s="22"/>
    </row>
    <row r="21" spans="1:16" ht="12.75">
      <c r="A21" s="49"/>
      <c r="B21" s="40" t="s">
        <v>787</v>
      </c>
      <c r="C21" s="50">
        <v>0</v>
      </c>
      <c r="D21" s="50">
        <v>0</v>
      </c>
      <c r="E21" s="494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9">
        <v>0</v>
      </c>
      <c r="M21" s="22"/>
      <c r="N21" s="22"/>
      <c r="O21" s="22"/>
      <c r="P21" s="22"/>
    </row>
    <row r="22" spans="1:16" ht="12.75">
      <c r="A22" s="49"/>
      <c r="B22" s="40"/>
      <c r="C22" s="50"/>
      <c r="D22" s="50"/>
      <c r="E22" s="494"/>
      <c r="F22" s="50"/>
      <c r="G22" s="50"/>
      <c r="H22" s="50"/>
      <c r="I22" s="50"/>
      <c r="J22" s="50"/>
      <c r="K22" s="50"/>
      <c r="L22" s="50">
        <f>SUM(L20:L21)</f>
        <v>3028</v>
      </c>
      <c r="M22" s="22"/>
      <c r="N22" s="22"/>
      <c r="O22" s="22"/>
      <c r="P22" s="22"/>
    </row>
    <row r="23" spans="1:16" ht="12.75">
      <c r="A23" s="49"/>
      <c r="B23" s="40" t="s">
        <v>440</v>
      </c>
      <c r="C23" s="50">
        <v>0</v>
      </c>
      <c r="D23" s="50">
        <v>0</v>
      </c>
      <c r="E23" s="333">
        <v>-48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0">
        <f>SUM(C23:K23)</f>
        <v>-48</v>
      </c>
      <c r="M23" s="22"/>
      <c r="N23" s="22"/>
      <c r="O23" s="22"/>
      <c r="P23" s="22"/>
    </row>
    <row r="24" spans="1:16" ht="12.75">
      <c r="A24" s="52"/>
      <c r="B24" s="40" t="s">
        <v>548</v>
      </c>
      <c r="C24" s="50">
        <v>0</v>
      </c>
      <c r="D24" s="51">
        <v>0</v>
      </c>
      <c r="E24" s="333">
        <f>E15</f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0">
        <f>SUM(C24:K24)</f>
        <v>0</v>
      </c>
      <c r="M24" s="74"/>
      <c r="N24" s="22"/>
      <c r="O24" s="22"/>
      <c r="P24" s="22"/>
    </row>
    <row r="25" spans="1:16" ht="13.5" thickBot="1">
      <c r="A25" s="52"/>
      <c r="B25" s="40"/>
      <c r="C25" s="70">
        <f aca="true" t="shared" si="1" ref="C25:K25">SUM(C20:C24)</f>
        <v>389</v>
      </c>
      <c r="D25" s="70">
        <f t="shared" si="1"/>
        <v>540</v>
      </c>
      <c r="E25" s="70">
        <f t="shared" si="1"/>
        <v>666</v>
      </c>
      <c r="F25" s="70">
        <f t="shared" si="1"/>
        <v>5</v>
      </c>
      <c r="G25" s="70">
        <f t="shared" si="1"/>
        <v>0</v>
      </c>
      <c r="H25" s="70">
        <f t="shared" si="1"/>
        <v>1359</v>
      </c>
      <c r="I25" s="70">
        <f t="shared" si="1"/>
        <v>0</v>
      </c>
      <c r="J25" s="70">
        <f t="shared" si="1"/>
        <v>0</v>
      </c>
      <c r="K25" s="70">
        <f t="shared" si="1"/>
        <v>21</v>
      </c>
      <c r="L25" s="70">
        <f>SUM(L22:L24)</f>
        <v>2980</v>
      </c>
      <c r="M25" s="74"/>
      <c r="N25" s="22"/>
      <c r="O25" s="22"/>
      <c r="P25" s="22"/>
    </row>
    <row r="26" spans="1:16" ht="13.5" thickTop="1">
      <c r="A26" s="52"/>
      <c r="B26" s="4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74"/>
      <c r="N26" s="22"/>
      <c r="O26" s="22"/>
      <c r="P26" s="22"/>
    </row>
    <row r="27" spans="1:16" ht="12.75">
      <c r="A27" s="49" t="s">
        <v>86</v>
      </c>
      <c r="B27" s="40" t="s">
        <v>443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74"/>
      <c r="N27" s="22"/>
      <c r="O27" s="22"/>
      <c r="P27" s="22"/>
    </row>
    <row r="28" spans="1:16" ht="12.75">
      <c r="A28" s="52"/>
      <c r="B28" s="40" t="s">
        <v>444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74"/>
      <c r="N28" s="22"/>
      <c r="O28" s="22"/>
      <c r="P28" s="22"/>
    </row>
    <row r="29" spans="1:16" ht="12.75">
      <c r="A29" s="52"/>
      <c r="B29" s="40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22"/>
      <c r="N29" s="22"/>
      <c r="O29" s="22"/>
      <c r="P29" s="22"/>
    </row>
    <row r="30" spans="1:16" ht="12.75">
      <c r="A30" s="52" t="s">
        <v>396</v>
      </c>
      <c r="B30" s="69" t="s">
        <v>463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22"/>
      <c r="N30" s="22"/>
      <c r="O30" s="22"/>
      <c r="P30" s="22"/>
    </row>
    <row r="31" spans="1:16" ht="12.75">
      <c r="A31" s="49"/>
      <c r="B31" s="518" t="s">
        <v>397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22"/>
      <c r="N31" s="22"/>
      <c r="O31" s="22"/>
      <c r="P31" s="22"/>
    </row>
    <row r="32" spans="1:16" ht="12.75">
      <c r="A32" s="49"/>
      <c r="B32" s="40" t="s">
        <v>630</v>
      </c>
      <c r="C32" s="50">
        <v>12</v>
      </c>
      <c r="D32" s="50">
        <v>54</v>
      </c>
      <c r="E32" s="50">
        <v>206</v>
      </c>
      <c r="F32" s="50">
        <v>0</v>
      </c>
      <c r="G32" s="51">
        <v>63</v>
      </c>
      <c r="H32" s="51">
        <v>49</v>
      </c>
      <c r="I32" s="51">
        <v>0</v>
      </c>
      <c r="J32" s="51">
        <v>0</v>
      </c>
      <c r="K32" s="51">
        <v>0</v>
      </c>
      <c r="L32" s="51">
        <f>SUM(C32:K32)</f>
        <v>384</v>
      </c>
      <c r="M32" s="22"/>
      <c r="N32" s="22"/>
      <c r="O32" s="22"/>
      <c r="P32" s="22"/>
    </row>
    <row r="33" spans="1:16" ht="12.75">
      <c r="A33" s="49"/>
      <c r="B33" s="40" t="s">
        <v>445</v>
      </c>
      <c r="C33" s="50">
        <v>0</v>
      </c>
      <c r="D33" s="51">
        <f>4959</f>
        <v>4959</v>
      </c>
      <c r="E33" s="50">
        <v>569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1">
        <f>SUM(C33:K33)</f>
        <v>5528</v>
      </c>
      <c r="M33" s="22"/>
      <c r="N33" s="22"/>
      <c r="O33" s="22"/>
      <c r="P33" s="22"/>
    </row>
    <row r="34" spans="1:16" ht="12.75">
      <c r="A34" s="52"/>
      <c r="B34" s="40" t="s">
        <v>1061</v>
      </c>
      <c r="C34" s="50">
        <v>0</v>
      </c>
      <c r="D34" s="11">
        <v>4000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f>SUM(C34:K34)</f>
        <v>4000</v>
      </c>
      <c r="M34" s="22"/>
      <c r="N34" s="22"/>
      <c r="O34" s="22"/>
      <c r="P34" s="22"/>
    </row>
    <row r="35" spans="1:16" ht="12.75">
      <c r="A35" s="52"/>
      <c r="B35" s="40" t="s">
        <v>462</v>
      </c>
      <c r="C35" s="50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f>SUM(C35:K35)</f>
        <v>0</v>
      </c>
      <c r="M35" s="22"/>
      <c r="N35" s="22"/>
      <c r="O35" s="22"/>
      <c r="P35" s="22"/>
    </row>
    <row r="36" spans="1:16" ht="12.75">
      <c r="A36" s="52"/>
      <c r="B36" s="40" t="s">
        <v>771</v>
      </c>
      <c r="C36" s="59">
        <v>0</v>
      </c>
      <c r="D36" s="59">
        <v>0</v>
      </c>
      <c r="E36" s="59"/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1">
        <f>SUM(C36:K36)</f>
        <v>0</v>
      </c>
      <c r="M36" s="22"/>
      <c r="N36" s="22"/>
      <c r="O36" s="22"/>
      <c r="P36" s="22"/>
    </row>
    <row r="37" spans="1:16" ht="12.75">
      <c r="A37" s="52"/>
      <c r="B37" s="40" t="s">
        <v>466</v>
      </c>
      <c r="C37" s="68">
        <f>SUM(C32:C36)</f>
        <v>12</v>
      </c>
      <c r="D37" s="68">
        <f aca="true" t="shared" si="2" ref="D37:L37">SUM(D32:D36)</f>
        <v>9013</v>
      </c>
      <c r="E37" s="68">
        <f t="shared" si="2"/>
        <v>775</v>
      </c>
      <c r="F37" s="68">
        <f t="shared" si="2"/>
        <v>0</v>
      </c>
      <c r="G37" s="68">
        <f t="shared" si="2"/>
        <v>63</v>
      </c>
      <c r="H37" s="68">
        <f t="shared" si="2"/>
        <v>49</v>
      </c>
      <c r="I37" s="68">
        <f t="shared" si="2"/>
        <v>0</v>
      </c>
      <c r="J37" s="68">
        <f t="shared" si="2"/>
        <v>0</v>
      </c>
      <c r="K37" s="68">
        <f t="shared" si="2"/>
        <v>0</v>
      </c>
      <c r="L37" s="68">
        <f t="shared" si="2"/>
        <v>9912</v>
      </c>
      <c r="M37" s="22"/>
      <c r="N37" s="22"/>
      <c r="O37" s="22"/>
      <c r="P37" s="22"/>
    </row>
    <row r="38" spans="1:16" ht="12.75">
      <c r="A38" s="52"/>
      <c r="B38" s="518" t="s">
        <v>400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22"/>
      <c r="N38" s="22"/>
      <c r="O38" s="22"/>
      <c r="P38" s="22"/>
    </row>
    <row r="39" spans="1:16" ht="12.75">
      <c r="A39" s="52"/>
      <c r="B39" s="40" t="s">
        <v>445</v>
      </c>
      <c r="C39" s="50">
        <v>0</v>
      </c>
      <c r="D39" s="51">
        <v>1998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f>SUM(C39:K39)</f>
        <v>1998</v>
      </c>
      <c r="M39" s="22"/>
      <c r="N39" s="22"/>
      <c r="O39" s="22"/>
      <c r="P39" s="22"/>
    </row>
    <row r="40" spans="1:16" ht="12.75">
      <c r="A40" s="52"/>
      <c r="B40" s="40" t="s">
        <v>462</v>
      </c>
      <c r="C40" s="50">
        <v>100172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f>SUM(C40:K40)</f>
        <v>100172</v>
      </c>
      <c r="M40" s="22"/>
      <c r="N40" s="22"/>
      <c r="O40" s="22"/>
      <c r="P40" s="22"/>
    </row>
    <row r="41" spans="1:16" ht="12.75">
      <c r="A41" s="52"/>
      <c r="B41" s="40" t="s">
        <v>570</v>
      </c>
      <c r="C41" s="50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f>SUM(C41:K41)</f>
        <v>0</v>
      </c>
      <c r="M41" s="22"/>
      <c r="N41" s="22"/>
      <c r="O41" s="22"/>
      <c r="P41" s="22"/>
    </row>
    <row r="42" spans="1:16" ht="12.75">
      <c r="A42" s="49"/>
      <c r="B42" s="40"/>
      <c r="C42" s="68">
        <f aca="true" t="shared" si="3" ref="C42:L42">SUM(C39:C41)</f>
        <v>100172</v>
      </c>
      <c r="D42" s="68">
        <f t="shared" si="3"/>
        <v>1998</v>
      </c>
      <c r="E42" s="68">
        <f t="shared" si="3"/>
        <v>0</v>
      </c>
      <c r="F42" s="68">
        <f t="shared" si="3"/>
        <v>0</v>
      </c>
      <c r="G42" s="68">
        <f t="shared" si="3"/>
        <v>0</v>
      </c>
      <c r="H42" s="68">
        <f t="shared" si="3"/>
        <v>0</v>
      </c>
      <c r="I42" s="68">
        <f t="shared" si="3"/>
        <v>0</v>
      </c>
      <c r="J42" s="68">
        <f t="shared" si="3"/>
        <v>0</v>
      </c>
      <c r="K42" s="68">
        <f t="shared" si="3"/>
        <v>0</v>
      </c>
      <c r="L42" s="68">
        <f t="shared" si="3"/>
        <v>102170</v>
      </c>
      <c r="M42" s="22"/>
      <c r="N42" s="22"/>
      <c r="O42" s="22"/>
      <c r="P42" s="22"/>
    </row>
    <row r="43" spans="1:16" ht="12.75">
      <c r="A43" s="49"/>
      <c r="B43" s="4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22"/>
      <c r="N43" s="22"/>
      <c r="O43" s="22"/>
      <c r="P43" s="22"/>
    </row>
    <row r="44" spans="1:16" ht="12.75">
      <c r="A44" s="49"/>
      <c r="B44" s="40" t="s">
        <v>467</v>
      </c>
      <c r="C44" s="50">
        <v>0</v>
      </c>
      <c r="D44" s="51">
        <v>0</v>
      </c>
      <c r="E44" s="51">
        <v>303</v>
      </c>
      <c r="F44" s="51">
        <v>0</v>
      </c>
      <c r="G44" s="51">
        <v>1500</v>
      </c>
      <c r="H44" s="51">
        <v>0</v>
      </c>
      <c r="I44" s="51">
        <v>0</v>
      </c>
      <c r="J44" s="51">
        <v>0</v>
      </c>
      <c r="K44" s="51">
        <v>0</v>
      </c>
      <c r="L44" s="51">
        <f>SUM(C44:K44)</f>
        <v>1803</v>
      </c>
      <c r="M44" s="22"/>
      <c r="N44" s="22"/>
      <c r="O44" s="22"/>
      <c r="P44" s="22"/>
    </row>
    <row r="45" spans="1:16" ht="12.75">
      <c r="A45" s="49"/>
      <c r="B45" s="4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22"/>
      <c r="N45" s="22"/>
      <c r="O45" s="22"/>
      <c r="P45" s="22"/>
    </row>
    <row r="46" spans="1:16" ht="12.75">
      <c r="A46" s="60"/>
      <c r="B46" s="36"/>
      <c r="C46" s="68">
        <f aca="true" t="shared" si="4" ref="C46:L46">C37+C42+C44</f>
        <v>100184</v>
      </c>
      <c r="D46" s="68">
        <f t="shared" si="4"/>
        <v>11011</v>
      </c>
      <c r="E46" s="68">
        <f t="shared" si="4"/>
        <v>1078</v>
      </c>
      <c r="F46" s="68">
        <f t="shared" si="4"/>
        <v>0</v>
      </c>
      <c r="G46" s="68">
        <f t="shared" si="4"/>
        <v>1563</v>
      </c>
      <c r="H46" s="68">
        <f t="shared" si="4"/>
        <v>49</v>
      </c>
      <c r="I46" s="68">
        <f t="shared" si="4"/>
        <v>0</v>
      </c>
      <c r="J46" s="68">
        <f t="shared" si="4"/>
        <v>0</v>
      </c>
      <c r="K46" s="68">
        <f t="shared" si="4"/>
        <v>0</v>
      </c>
      <c r="L46" s="68">
        <f t="shared" si="4"/>
        <v>113885</v>
      </c>
      <c r="M46" s="22"/>
      <c r="N46" s="22"/>
      <c r="O46" s="22"/>
      <c r="P46" s="22"/>
    </row>
    <row r="47" spans="1:16" ht="12.75">
      <c r="A47" s="85" t="s">
        <v>402</v>
      </c>
      <c r="B47" s="33" t="s">
        <v>464</v>
      </c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22"/>
      <c r="N47" s="22"/>
      <c r="O47" s="22"/>
      <c r="P47" s="22"/>
    </row>
    <row r="48" spans="1:16" ht="12.75">
      <c r="A48" s="49"/>
      <c r="B48" s="518" t="s">
        <v>397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22"/>
      <c r="N48" s="22"/>
      <c r="O48" s="22"/>
      <c r="P48" s="22"/>
    </row>
    <row r="49" spans="1:16" ht="12.75">
      <c r="A49" s="49"/>
      <c r="B49" s="40" t="s">
        <v>869</v>
      </c>
      <c r="C49" s="50"/>
      <c r="D49" s="324"/>
      <c r="E49" s="324"/>
      <c r="F49" s="324"/>
      <c r="G49" s="324"/>
      <c r="H49" s="324"/>
      <c r="I49" s="324"/>
      <c r="J49" s="324"/>
      <c r="K49" s="324"/>
      <c r="L49" s="324"/>
      <c r="M49" s="22">
        <f>L52-1077</f>
        <v>149</v>
      </c>
      <c r="N49" s="22">
        <f>1077-L52</f>
        <v>-149</v>
      </c>
      <c r="O49" s="22"/>
      <c r="P49" s="22"/>
    </row>
    <row r="50" spans="1:16" ht="12.75">
      <c r="A50" s="49"/>
      <c r="B50" s="40" t="s">
        <v>870</v>
      </c>
      <c r="C50" s="50">
        <v>12</v>
      </c>
      <c r="D50" s="50">
        <v>54</v>
      </c>
      <c r="E50" s="50">
        <v>206</v>
      </c>
      <c r="F50" s="50">
        <f>F32</f>
        <v>0</v>
      </c>
      <c r="G50" s="50">
        <v>63</v>
      </c>
      <c r="H50" s="50">
        <v>49</v>
      </c>
      <c r="I50" s="50">
        <v>0</v>
      </c>
      <c r="J50" s="50">
        <v>0</v>
      </c>
      <c r="K50" s="50">
        <v>0</v>
      </c>
      <c r="L50" s="50">
        <f>SUM(C50:K50)</f>
        <v>384</v>
      </c>
      <c r="M50" s="22"/>
      <c r="N50" s="22"/>
      <c r="O50" s="22"/>
      <c r="P50" s="22"/>
    </row>
    <row r="51" spans="1:16" ht="12.75">
      <c r="A51" s="49"/>
      <c r="B51" s="40" t="s">
        <v>871</v>
      </c>
      <c r="C51" s="50">
        <v>34</v>
      </c>
      <c r="D51" s="50">
        <v>55</v>
      </c>
      <c r="E51" s="50">
        <v>277</v>
      </c>
      <c r="F51" s="50">
        <v>0</v>
      </c>
      <c r="G51" s="50">
        <v>159</v>
      </c>
      <c r="H51" s="50">
        <v>317</v>
      </c>
      <c r="I51" s="50">
        <v>0</v>
      </c>
      <c r="J51" s="50">
        <v>0</v>
      </c>
      <c r="K51" s="50">
        <v>0</v>
      </c>
      <c r="L51" s="50">
        <f>SUM(C51:K51)</f>
        <v>842</v>
      </c>
      <c r="M51" s="22"/>
      <c r="N51" s="22"/>
      <c r="O51" s="22"/>
      <c r="P51" s="22"/>
    </row>
    <row r="52" spans="1:16" ht="12.75">
      <c r="A52" s="49"/>
      <c r="B52" s="40"/>
      <c r="C52" s="68">
        <f>C50+C51</f>
        <v>46</v>
      </c>
      <c r="D52" s="68">
        <f>SUM(D50:D51)</f>
        <v>109</v>
      </c>
      <c r="E52" s="326">
        <f>E50+E51</f>
        <v>483</v>
      </c>
      <c r="F52" s="326">
        <f>-'cbs(w)'!E48</f>
        <v>0</v>
      </c>
      <c r="G52" s="326">
        <f>G50+G51</f>
        <v>222</v>
      </c>
      <c r="H52" s="326">
        <f>H50+H51</f>
        <v>366</v>
      </c>
      <c r="I52" s="326">
        <f>-'cbs(w)'!H48</f>
        <v>0</v>
      </c>
      <c r="J52" s="326">
        <f>-'cbs(w)'!I48</f>
        <v>0</v>
      </c>
      <c r="K52" s="326">
        <f>-'cbs(w)'!J48</f>
        <v>0</v>
      </c>
      <c r="L52" s="326">
        <f>SUM(L50:L51)</f>
        <v>1226</v>
      </c>
      <c r="M52" s="22"/>
      <c r="N52" s="22"/>
      <c r="O52" s="22"/>
      <c r="P52" s="22"/>
    </row>
    <row r="53" spans="1:16" ht="12.75">
      <c r="A53" s="49"/>
      <c r="B53" s="40" t="s">
        <v>472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22"/>
      <c r="N53" s="22"/>
      <c r="O53" s="22"/>
      <c r="P53" s="22"/>
    </row>
    <row r="54" spans="1:16" ht="12.75">
      <c r="A54" s="49"/>
      <c r="B54" s="40" t="s">
        <v>473</v>
      </c>
      <c r="C54" s="50">
        <f>-C32</f>
        <v>-12</v>
      </c>
      <c r="D54" s="50">
        <f>-D32</f>
        <v>-54</v>
      </c>
      <c r="E54" s="50">
        <f aca="true" t="shared" si="5" ref="E54:K54">-E32</f>
        <v>-206</v>
      </c>
      <c r="F54" s="50">
        <f>-F50</f>
        <v>0</v>
      </c>
      <c r="G54" s="50">
        <f t="shared" si="5"/>
        <v>-63</v>
      </c>
      <c r="H54" s="50">
        <f t="shared" si="5"/>
        <v>-49</v>
      </c>
      <c r="I54" s="50">
        <f t="shared" si="5"/>
        <v>0</v>
      </c>
      <c r="J54" s="50">
        <f t="shared" si="5"/>
        <v>0</v>
      </c>
      <c r="K54" s="50">
        <f t="shared" si="5"/>
        <v>0</v>
      </c>
      <c r="L54" s="50">
        <f>SUM(C54:K54)</f>
        <v>-384</v>
      </c>
      <c r="M54" s="22" t="s">
        <v>868</v>
      </c>
      <c r="N54" s="22"/>
      <c r="O54" s="22"/>
      <c r="P54" s="22"/>
    </row>
    <row r="55" spans="1:16" ht="12.75">
      <c r="A55" s="49"/>
      <c r="B55" s="40"/>
      <c r="C55" s="68">
        <f>C52+C54</f>
        <v>34</v>
      </c>
      <c r="D55" s="68">
        <f>D52+D54</f>
        <v>55</v>
      </c>
      <c r="E55" s="68">
        <f>E52+E54</f>
        <v>277</v>
      </c>
      <c r="F55" s="68">
        <f aca="true" t="shared" si="6" ref="F55:K55">F52+F54</f>
        <v>0</v>
      </c>
      <c r="G55" s="68">
        <f>G52+G54</f>
        <v>159</v>
      </c>
      <c r="H55" s="68">
        <f>H52+H54</f>
        <v>317</v>
      </c>
      <c r="I55" s="68">
        <f t="shared" si="6"/>
        <v>0</v>
      </c>
      <c r="J55" s="68">
        <f t="shared" si="6"/>
        <v>0</v>
      </c>
      <c r="K55" s="68">
        <f t="shared" si="6"/>
        <v>0</v>
      </c>
      <c r="L55" s="68">
        <f>L52+L54</f>
        <v>842</v>
      </c>
      <c r="M55" s="22"/>
      <c r="N55" s="22"/>
      <c r="O55" s="22"/>
      <c r="P55" s="22"/>
    </row>
    <row r="56" spans="1:16" ht="12.75">
      <c r="A56" s="49"/>
      <c r="B56" s="4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22"/>
      <c r="N56" s="22"/>
      <c r="O56" s="22"/>
      <c r="P56" s="22"/>
    </row>
    <row r="57" spans="1:16" ht="12.75">
      <c r="A57" s="49"/>
      <c r="B57" s="40" t="s">
        <v>404</v>
      </c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22"/>
      <c r="N57" s="22"/>
      <c r="O57" s="22"/>
      <c r="P57" s="22"/>
    </row>
    <row r="58" spans="1:16" ht="12.75">
      <c r="A58" s="52"/>
      <c r="B58" s="40" t="s">
        <v>471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22"/>
      <c r="N58" s="22"/>
      <c r="O58" s="22"/>
      <c r="P58" s="22"/>
    </row>
    <row r="59" spans="1:16" ht="10.5" customHeight="1">
      <c r="A59" s="49"/>
      <c r="B59" s="40" t="s">
        <v>572</v>
      </c>
      <c r="C59" s="50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f>SUM(C59:K59)</f>
        <v>0</v>
      </c>
      <c r="M59" s="22"/>
      <c r="N59" s="22"/>
      <c r="O59" s="22"/>
      <c r="P59" s="22"/>
    </row>
    <row r="60" spans="1:16" ht="12.75" hidden="1">
      <c r="A60" s="49"/>
      <c r="B60" s="40" t="s">
        <v>468</v>
      </c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22"/>
      <c r="N60" s="22"/>
      <c r="O60" s="22"/>
      <c r="P60" s="22"/>
    </row>
    <row r="61" spans="1:16" ht="12.75">
      <c r="A61" s="52"/>
      <c r="B61" s="40" t="s">
        <v>469</v>
      </c>
      <c r="C61" s="50">
        <v>0</v>
      </c>
      <c r="D61" s="51">
        <v>0</v>
      </c>
      <c r="E61" s="51">
        <v>0</v>
      </c>
      <c r="F61" s="51">
        <v>0</v>
      </c>
      <c r="G61" s="51">
        <v>6500</v>
      </c>
      <c r="H61" s="51">
        <v>0</v>
      </c>
      <c r="I61" s="51">
        <v>0</v>
      </c>
      <c r="J61" s="51">
        <v>0</v>
      </c>
      <c r="K61" s="51">
        <v>0</v>
      </c>
      <c r="L61" s="51">
        <f>SUM(C61:K61)</f>
        <v>6500</v>
      </c>
      <c r="M61" s="22"/>
      <c r="N61" s="22"/>
      <c r="O61" s="22"/>
      <c r="P61" s="22"/>
    </row>
    <row r="62" spans="1:16" ht="12.75">
      <c r="A62" s="49"/>
      <c r="B62" s="40" t="s">
        <v>470</v>
      </c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22"/>
      <c r="N62" s="22"/>
      <c r="O62" s="22"/>
      <c r="P62" s="22"/>
    </row>
    <row r="63" spans="1:16" ht="12.75">
      <c r="A63" s="49"/>
      <c r="B63" s="40" t="s">
        <v>571</v>
      </c>
      <c r="C63" s="50">
        <v>0</v>
      </c>
      <c r="D63" s="51">
        <v>0</v>
      </c>
      <c r="E63" s="51">
        <v>303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f>SUM(C63:K63)</f>
        <v>303</v>
      </c>
      <c r="M63" s="22"/>
      <c r="N63" s="22"/>
      <c r="O63" s="22"/>
      <c r="P63" s="22"/>
    </row>
    <row r="64" spans="1:16" ht="12.75">
      <c r="A64" s="52"/>
      <c r="B64" s="40" t="s">
        <v>471</v>
      </c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22"/>
      <c r="N64" s="22"/>
      <c r="O64" s="22"/>
      <c r="P64" s="22"/>
    </row>
    <row r="65" spans="1:16" ht="12.75">
      <c r="A65" s="49"/>
      <c r="B65" s="40" t="s">
        <v>469</v>
      </c>
      <c r="C65" s="50">
        <v>0</v>
      </c>
      <c r="D65" s="51">
        <v>0</v>
      </c>
      <c r="E65" s="51">
        <v>238</v>
      </c>
      <c r="F65" s="51">
        <f>-'cbs(w)'!E46</f>
        <v>0</v>
      </c>
      <c r="G65" s="51">
        <v>0</v>
      </c>
      <c r="H65" s="51">
        <f>-'cbs(w)'!G46</f>
        <v>0</v>
      </c>
      <c r="I65" s="51">
        <f>-'cbs(w)'!H46</f>
        <v>0</v>
      </c>
      <c r="J65" s="51">
        <f>-'cbs(w)'!I46</f>
        <v>0</v>
      </c>
      <c r="K65" s="51">
        <f>-'cbs(w)'!J46</f>
        <v>0</v>
      </c>
      <c r="L65" s="51">
        <f>SUM(C65:K65)</f>
        <v>238</v>
      </c>
      <c r="M65" s="22"/>
      <c r="N65" s="22"/>
      <c r="O65" s="22"/>
      <c r="P65" s="22"/>
    </row>
    <row r="66" spans="1:16" ht="12.75">
      <c r="A66" s="49"/>
      <c r="B66" s="40" t="s">
        <v>470</v>
      </c>
      <c r="C66" s="50"/>
      <c r="D66" s="51"/>
      <c r="E66" s="51"/>
      <c r="F66" s="51"/>
      <c r="G66" s="55"/>
      <c r="H66" s="88"/>
      <c r="I66" s="51"/>
      <c r="J66" s="56"/>
      <c r="K66" s="89"/>
      <c r="L66" s="51"/>
      <c r="M66" s="22"/>
      <c r="N66" s="22"/>
      <c r="O66" s="22"/>
      <c r="P66" s="22"/>
    </row>
    <row r="67" spans="1:16" ht="12.75">
      <c r="A67" s="49"/>
      <c r="B67" s="40" t="s">
        <v>772</v>
      </c>
      <c r="C67" s="50">
        <v>0</v>
      </c>
      <c r="D67" s="51">
        <v>0</v>
      </c>
      <c r="E67" s="51">
        <v>303</v>
      </c>
      <c r="F67" s="51">
        <v>0</v>
      </c>
      <c r="G67" s="55"/>
      <c r="H67" s="88"/>
      <c r="I67" s="51"/>
      <c r="J67" s="56"/>
      <c r="K67" s="89"/>
      <c r="L67" s="51">
        <f>SUM(C67:K67)</f>
        <v>303</v>
      </c>
      <c r="M67" s="22"/>
      <c r="N67" s="22"/>
      <c r="O67" s="22"/>
      <c r="P67" s="22"/>
    </row>
    <row r="68" spans="1:16" ht="12.75">
      <c r="A68" s="49"/>
      <c r="B68" s="40" t="s">
        <v>405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f>SUM(C68:K68)</f>
        <v>0</v>
      </c>
      <c r="M68" s="22"/>
      <c r="N68" s="22"/>
      <c r="O68" s="22"/>
      <c r="P68" s="22"/>
    </row>
    <row r="69" spans="1:16" ht="12.75">
      <c r="A69" s="52"/>
      <c r="B69" s="40"/>
      <c r="C69" s="50">
        <v>0</v>
      </c>
      <c r="D69" s="50">
        <f>SUM(D57:D68)</f>
        <v>0</v>
      </c>
      <c r="E69" s="50">
        <f aca="true" t="shared" si="7" ref="E69:K69">SUM(E57:E68)</f>
        <v>844</v>
      </c>
      <c r="F69" s="50">
        <f t="shared" si="7"/>
        <v>0</v>
      </c>
      <c r="G69" s="50">
        <f t="shared" si="7"/>
        <v>6500</v>
      </c>
      <c r="H69" s="50">
        <f t="shared" si="7"/>
        <v>0</v>
      </c>
      <c r="I69" s="50">
        <f t="shared" si="7"/>
        <v>0</v>
      </c>
      <c r="J69" s="50">
        <f t="shared" si="7"/>
        <v>0</v>
      </c>
      <c r="K69" s="50">
        <f t="shared" si="7"/>
        <v>0</v>
      </c>
      <c r="L69" s="51">
        <f>SUM(L57:L68)</f>
        <v>7344</v>
      </c>
      <c r="M69" s="22"/>
      <c r="N69" s="22"/>
      <c r="O69" s="22"/>
      <c r="P69" s="22"/>
    </row>
    <row r="70" spans="1:16" ht="12.75">
      <c r="A70" s="49"/>
      <c r="B70" s="40" t="s">
        <v>472</v>
      </c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22"/>
      <c r="N70" s="22"/>
      <c r="O70" s="22"/>
      <c r="P70" s="22"/>
    </row>
    <row r="71" spans="1:16" ht="12.75">
      <c r="A71" s="52"/>
      <c r="B71" s="40" t="s">
        <v>473</v>
      </c>
      <c r="C71" s="50">
        <v>0</v>
      </c>
      <c r="D71" s="51">
        <v>0</v>
      </c>
      <c r="E71" s="51">
        <f>-E44</f>
        <v>-303</v>
      </c>
      <c r="F71" s="51">
        <v>0</v>
      </c>
      <c r="G71" s="51">
        <f>-G44</f>
        <v>-1500</v>
      </c>
      <c r="H71" s="51">
        <v>0</v>
      </c>
      <c r="I71" s="51">
        <v>0</v>
      </c>
      <c r="J71" s="51">
        <v>0</v>
      </c>
      <c r="K71" s="51">
        <v>0</v>
      </c>
      <c r="L71" s="51">
        <f>SUM(C71:K71)</f>
        <v>-1803</v>
      </c>
      <c r="M71" s="22"/>
      <c r="N71" s="22"/>
      <c r="O71" s="22"/>
      <c r="P71" s="22"/>
    </row>
    <row r="72" spans="1:16" ht="13.5" thickBot="1">
      <c r="A72" s="49"/>
      <c r="B72" s="40"/>
      <c r="C72" s="70">
        <f>C69+C71</f>
        <v>0</v>
      </c>
      <c r="D72" s="70">
        <f>D69+D71</f>
        <v>0</v>
      </c>
      <c r="E72" s="70">
        <f>E69+E71</f>
        <v>541</v>
      </c>
      <c r="F72" s="70">
        <f>F69+F71</f>
        <v>0</v>
      </c>
      <c r="G72" s="70">
        <f aca="true" t="shared" si="8" ref="G72:L72">SUM(G69:G71)</f>
        <v>5000</v>
      </c>
      <c r="H72" s="70">
        <f t="shared" si="8"/>
        <v>0</v>
      </c>
      <c r="I72" s="70">
        <f t="shared" si="8"/>
        <v>0</v>
      </c>
      <c r="J72" s="70">
        <f t="shared" si="8"/>
        <v>0</v>
      </c>
      <c r="K72" s="70">
        <f t="shared" si="8"/>
        <v>0</v>
      </c>
      <c r="L72" s="70">
        <f t="shared" si="8"/>
        <v>5541</v>
      </c>
      <c r="M72" s="22"/>
      <c r="N72" s="22"/>
      <c r="O72" s="22"/>
      <c r="P72" s="22"/>
    </row>
    <row r="73" spans="1:16" ht="13.5" thickTop="1">
      <c r="A73" s="49"/>
      <c r="B73" s="40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22"/>
      <c r="N73" s="22"/>
      <c r="O73" s="22"/>
      <c r="P73" s="22"/>
    </row>
    <row r="74" spans="1:16" ht="12.75">
      <c r="A74" s="52"/>
      <c r="B74" s="518" t="s">
        <v>200</v>
      </c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22"/>
      <c r="N74" s="22"/>
      <c r="O74" s="22"/>
      <c r="P74" s="22"/>
    </row>
    <row r="75" spans="1:16" ht="12.75">
      <c r="A75" s="90" t="s">
        <v>653</v>
      </c>
      <c r="B75" s="40" t="s">
        <v>201</v>
      </c>
      <c r="C75" s="50">
        <f>5249+3484</f>
        <v>8733</v>
      </c>
      <c r="D75" s="51"/>
      <c r="E75" s="333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f>SUM(C75:K75)</f>
        <v>8733</v>
      </c>
      <c r="M75" s="22"/>
      <c r="N75" s="22"/>
      <c r="O75" s="22"/>
      <c r="P75" s="22"/>
    </row>
    <row r="76" spans="1:16" ht="12.75">
      <c r="A76" s="90"/>
      <c r="B76" s="40" t="s">
        <v>693</v>
      </c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22"/>
      <c r="N76" s="22"/>
      <c r="O76" s="22"/>
      <c r="P76" s="22"/>
    </row>
    <row r="77" spans="1:16" ht="12.75">
      <c r="A77" s="354"/>
      <c r="B77" s="355" t="s">
        <v>427</v>
      </c>
      <c r="C77" s="184">
        <v>2005</v>
      </c>
      <c r="D77" s="51">
        <v>0</v>
      </c>
      <c r="E77" s="407">
        <v>11716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f>SUM(C77:K77)</f>
        <v>13721</v>
      </c>
      <c r="M77" s="22"/>
      <c r="N77" s="22"/>
      <c r="O77" s="22"/>
      <c r="P77" s="22"/>
    </row>
    <row r="78" spans="1:16" ht="12.75">
      <c r="A78" s="354"/>
      <c r="B78" s="355" t="s">
        <v>62</v>
      </c>
      <c r="C78" s="184"/>
      <c r="D78" s="51"/>
      <c r="E78" s="407"/>
      <c r="F78" s="51"/>
      <c r="G78" s="51"/>
      <c r="H78" s="51"/>
      <c r="I78" s="51"/>
      <c r="J78" s="51"/>
      <c r="K78" s="51"/>
      <c r="L78" s="51"/>
      <c r="M78" s="22"/>
      <c r="N78" s="22"/>
      <c r="O78" s="22"/>
      <c r="P78" s="22"/>
    </row>
    <row r="79" spans="1:16" ht="12.75">
      <c r="A79" s="90"/>
      <c r="B79" s="40" t="s">
        <v>202</v>
      </c>
      <c r="C79" s="50">
        <v>613</v>
      </c>
      <c r="D79" s="51">
        <v>0</v>
      </c>
      <c r="E79" s="51"/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f>SUM(C79:K79)</f>
        <v>613</v>
      </c>
      <c r="M79" s="22"/>
      <c r="N79" s="22"/>
      <c r="O79" s="22"/>
      <c r="P79" s="22"/>
    </row>
    <row r="80" spans="1:16" ht="12.75">
      <c r="A80" s="52"/>
      <c r="B80" s="69" t="s">
        <v>1057</v>
      </c>
      <c r="C80" s="184">
        <v>3071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f>SUM(C80:K80)</f>
        <v>3071</v>
      </c>
      <c r="M80" s="22"/>
      <c r="N80" s="22"/>
      <c r="O80" s="22"/>
      <c r="P80" s="22"/>
    </row>
    <row r="81" spans="1:16" ht="12.75">
      <c r="A81" s="52"/>
      <c r="B81" s="69"/>
      <c r="C81" s="50"/>
      <c r="D81" s="51"/>
      <c r="E81" s="51"/>
      <c r="F81" s="51"/>
      <c r="G81" s="51"/>
      <c r="H81" s="51"/>
      <c r="I81" s="51"/>
      <c r="J81" s="51"/>
      <c r="K81" s="51"/>
      <c r="L81" s="51"/>
      <c r="M81" s="22"/>
      <c r="N81" s="22"/>
      <c r="O81" s="22"/>
      <c r="P81" s="22"/>
    </row>
    <row r="82" spans="1:16" ht="12.75">
      <c r="A82" s="49" t="s">
        <v>93</v>
      </c>
      <c r="B82" s="40" t="s">
        <v>94</v>
      </c>
      <c r="C82" s="50"/>
      <c r="D82" s="51"/>
      <c r="E82" s="51"/>
      <c r="F82" s="51"/>
      <c r="G82" s="51"/>
      <c r="H82" s="51"/>
      <c r="I82" s="51"/>
      <c r="J82" s="51"/>
      <c r="K82" s="51"/>
      <c r="L82" s="51"/>
      <c r="M82" s="22"/>
      <c r="N82" s="22"/>
      <c r="O82" s="22"/>
      <c r="P82" s="22"/>
    </row>
    <row r="83" spans="1:16" ht="12.75">
      <c r="A83" s="49"/>
      <c r="B83" s="69" t="s">
        <v>752</v>
      </c>
      <c r="C83" s="50"/>
      <c r="D83" s="51"/>
      <c r="E83" s="51"/>
      <c r="F83" s="51"/>
      <c r="G83" s="51"/>
      <c r="H83" s="51"/>
      <c r="I83" s="51"/>
      <c r="J83" s="51"/>
      <c r="K83" s="51"/>
      <c r="L83" s="51"/>
      <c r="M83" s="22"/>
      <c r="N83" s="22"/>
      <c r="O83" s="22"/>
      <c r="P83" s="22"/>
    </row>
    <row r="84" spans="1:16" ht="12.75">
      <c r="A84" s="52"/>
      <c r="B84" s="40" t="s">
        <v>1058</v>
      </c>
      <c r="C84" s="50">
        <v>0</v>
      </c>
      <c r="D84" s="51">
        <v>0</v>
      </c>
      <c r="E84" s="51">
        <v>20903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f aca="true" t="shared" si="9" ref="L84:L89">SUM(C84:K84)</f>
        <v>20903</v>
      </c>
      <c r="M84" s="22"/>
      <c r="N84" s="22"/>
      <c r="O84" s="22"/>
      <c r="P84" s="22"/>
    </row>
    <row r="85" spans="1:16" ht="12.75">
      <c r="A85" s="52"/>
      <c r="B85" s="40" t="s">
        <v>1059</v>
      </c>
      <c r="C85" s="50">
        <v>0</v>
      </c>
      <c r="D85" s="51">
        <v>0</v>
      </c>
      <c r="E85" s="51">
        <v>0</v>
      </c>
      <c r="F85" s="51">
        <v>0</v>
      </c>
      <c r="G85" s="51">
        <f>'cpl-qtr1'!H9</f>
        <v>3194</v>
      </c>
      <c r="H85" s="51">
        <v>0</v>
      </c>
      <c r="I85" s="51">
        <v>0</v>
      </c>
      <c r="J85" s="51">
        <v>0</v>
      </c>
      <c r="K85" s="51">
        <v>0</v>
      </c>
      <c r="L85" s="51">
        <f t="shared" si="9"/>
        <v>3194</v>
      </c>
      <c r="M85" s="22"/>
      <c r="N85" s="22"/>
      <c r="O85" s="22"/>
      <c r="P85" s="22"/>
    </row>
    <row r="86" spans="1:16" ht="12.75">
      <c r="A86" s="52"/>
      <c r="B86" s="40" t="s">
        <v>1060</v>
      </c>
      <c r="C86" s="50">
        <v>0</v>
      </c>
      <c r="D86" s="51">
        <v>0</v>
      </c>
      <c r="E86" s="51">
        <v>0</v>
      </c>
      <c r="F86" s="51">
        <v>0</v>
      </c>
      <c r="G86" s="51">
        <v>0</v>
      </c>
      <c r="H86" s="51">
        <f>'cpl-qtr1'!I9</f>
        <v>5979</v>
      </c>
      <c r="I86" s="51">
        <v>0</v>
      </c>
      <c r="J86" s="51">
        <v>0</v>
      </c>
      <c r="K86" s="51">
        <v>0</v>
      </c>
      <c r="L86" s="51">
        <f t="shared" si="9"/>
        <v>5979</v>
      </c>
      <c r="M86" s="22"/>
      <c r="N86" s="22"/>
      <c r="O86" s="22"/>
      <c r="P86" s="22"/>
    </row>
    <row r="87" spans="1:16" ht="12.75">
      <c r="A87" s="52"/>
      <c r="B87" s="40" t="s">
        <v>198</v>
      </c>
      <c r="C87" s="50">
        <v>0</v>
      </c>
      <c r="D87" s="51">
        <f>'cpl-qtr1'!E9</f>
        <v>1498</v>
      </c>
      <c r="E87" s="51">
        <v>0</v>
      </c>
      <c r="F87" s="51">
        <f>'cpl-qtr1'!G9</f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f t="shared" si="9"/>
        <v>1498</v>
      </c>
      <c r="M87" s="22"/>
      <c r="N87" s="22"/>
      <c r="O87" s="22"/>
      <c r="P87" s="22"/>
    </row>
    <row r="88" spans="1:16" ht="12.75">
      <c r="A88" s="52"/>
      <c r="B88" s="40" t="s">
        <v>394</v>
      </c>
      <c r="C88" s="50">
        <f>'cpl-qtr2'!C10</f>
        <v>1274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f>'cpl-qtr1'!J9</f>
        <v>0</v>
      </c>
      <c r="J88" s="51">
        <f>'cpl-qtr1'!K9</f>
        <v>0</v>
      </c>
      <c r="K88" s="51">
        <f>'cpl-qtr1'!L9</f>
        <v>0</v>
      </c>
      <c r="L88" s="51">
        <f t="shared" si="9"/>
        <v>1274</v>
      </c>
      <c r="M88" s="22"/>
      <c r="N88" s="22"/>
      <c r="O88" s="22"/>
      <c r="P88" s="22"/>
    </row>
    <row r="89" spans="1:16" ht="12.75">
      <c r="A89" s="52"/>
      <c r="B89" s="40" t="s">
        <v>773</v>
      </c>
      <c r="C89" s="50">
        <v>0</v>
      </c>
      <c r="D89" s="50">
        <v>0</v>
      </c>
      <c r="E89" s="50">
        <v>-3699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1">
        <f t="shared" si="9"/>
        <v>-3699</v>
      </c>
      <c r="M89" s="22"/>
      <c r="N89" s="22"/>
      <c r="O89" s="22"/>
      <c r="P89" s="22"/>
    </row>
    <row r="90" spans="1:16" ht="13.5" thickBot="1">
      <c r="A90" s="52"/>
      <c r="B90" s="40"/>
      <c r="C90" s="70">
        <f>SUM(C84:C89)</f>
        <v>1274</v>
      </c>
      <c r="D90" s="70">
        <f aca="true" t="shared" si="10" ref="D90:L90">SUM(D84:D89)</f>
        <v>1498</v>
      </c>
      <c r="E90" s="70">
        <f t="shared" si="10"/>
        <v>17204</v>
      </c>
      <c r="F90" s="70">
        <f t="shared" si="10"/>
        <v>0</v>
      </c>
      <c r="G90" s="70">
        <f t="shared" si="10"/>
        <v>3194</v>
      </c>
      <c r="H90" s="70">
        <f t="shared" si="10"/>
        <v>5979</v>
      </c>
      <c r="I90" s="70">
        <f t="shared" si="10"/>
        <v>0</v>
      </c>
      <c r="J90" s="70">
        <f t="shared" si="10"/>
        <v>0</v>
      </c>
      <c r="K90" s="70">
        <f t="shared" si="10"/>
        <v>0</v>
      </c>
      <c r="L90" s="70">
        <f t="shared" si="10"/>
        <v>29149</v>
      </c>
      <c r="M90" s="22"/>
      <c r="N90" s="22"/>
      <c r="O90" s="22"/>
      <c r="P90" s="22"/>
    </row>
    <row r="91" spans="1:16" ht="13.5" thickTop="1">
      <c r="A91" s="52"/>
      <c r="B91" s="40"/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22"/>
      <c r="N91" s="22"/>
      <c r="O91" s="22"/>
      <c r="P91" s="22"/>
    </row>
    <row r="92" spans="1:16" ht="12.75">
      <c r="A92" s="49"/>
      <c r="B92" s="69" t="s">
        <v>474</v>
      </c>
      <c r="C92" s="50"/>
      <c r="D92" s="51"/>
      <c r="E92" s="51"/>
      <c r="F92" s="51"/>
      <c r="G92" s="51"/>
      <c r="H92" s="51"/>
      <c r="I92" s="51"/>
      <c r="J92" s="51"/>
      <c r="K92" s="51"/>
      <c r="L92" s="51"/>
      <c r="M92" s="22"/>
      <c r="N92" s="22"/>
      <c r="O92" s="22"/>
      <c r="P92" s="22"/>
    </row>
    <row r="93" spans="1:16" ht="12.75">
      <c r="A93" s="52"/>
      <c r="B93" s="40" t="s">
        <v>1058</v>
      </c>
      <c r="C93" s="50">
        <v>0</v>
      </c>
      <c r="D93" s="51">
        <v>0</v>
      </c>
      <c r="E93" s="51">
        <f>'cpl-qtr1'!F29</f>
        <v>-2219</v>
      </c>
      <c r="F93" s="51">
        <v>0</v>
      </c>
      <c r="G93" s="56">
        <v>0</v>
      </c>
      <c r="H93" s="89">
        <v>0</v>
      </c>
      <c r="I93" s="51">
        <v>0</v>
      </c>
      <c r="J93" s="51">
        <v>0</v>
      </c>
      <c r="K93" s="51">
        <v>0</v>
      </c>
      <c r="L93" s="51">
        <f>SUM(C93:K93)</f>
        <v>-2219</v>
      </c>
      <c r="M93" s="22"/>
      <c r="N93" s="22"/>
      <c r="O93" s="22"/>
      <c r="P93" s="22"/>
    </row>
    <row r="94" spans="1:16" ht="12.75">
      <c r="A94" s="52"/>
      <c r="B94" s="40" t="s">
        <v>1059</v>
      </c>
      <c r="C94" s="50">
        <v>0</v>
      </c>
      <c r="D94" s="51">
        <v>0</v>
      </c>
      <c r="E94" s="51">
        <v>0</v>
      </c>
      <c r="F94" s="51" t="s">
        <v>769</v>
      </c>
      <c r="G94" s="51">
        <f>'cpl-qtr1'!H29</f>
        <v>-242</v>
      </c>
      <c r="H94" s="51">
        <v>0</v>
      </c>
      <c r="I94" s="51">
        <v>0</v>
      </c>
      <c r="J94" s="51">
        <v>0</v>
      </c>
      <c r="K94" s="51">
        <v>0</v>
      </c>
      <c r="L94" s="51">
        <f>SUM(C94:K94)</f>
        <v>-242</v>
      </c>
      <c r="M94" s="22"/>
      <c r="N94" s="22"/>
      <c r="O94" s="23"/>
      <c r="P94" s="22"/>
    </row>
    <row r="95" spans="1:16" ht="12.75">
      <c r="A95" s="49"/>
      <c r="B95" s="40" t="s">
        <v>1060</v>
      </c>
      <c r="C95" s="50">
        <v>0</v>
      </c>
      <c r="D95" s="51">
        <v>0</v>
      </c>
      <c r="E95" s="51">
        <v>0</v>
      </c>
      <c r="F95" s="51">
        <v>0</v>
      </c>
      <c r="G95" s="51">
        <v>0</v>
      </c>
      <c r="H95" s="51">
        <f>'cpl-qtr1'!I29</f>
        <v>3265</v>
      </c>
      <c r="I95" s="51">
        <v>0</v>
      </c>
      <c r="J95" s="51">
        <v>0</v>
      </c>
      <c r="K95" s="51">
        <v>0</v>
      </c>
      <c r="L95" s="51">
        <f>SUM(C95:K95)</f>
        <v>3265</v>
      </c>
      <c r="M95" s="22"/>
      <c r="N95" s="22"/>
      <c r="O95" s="22"/>
      <c r="P95" s="22"/>
    </row>
    <row r="96" spans="1:16" ht="12.75">
      <c r="A96" s="49"/>
      <c r="B96" s="40" t="s">
        <v>198</v>
      </c>
      <c r="C96" s="50">
        <v>0</v>
      </c>
      <c r="D96" s="51">
        <f>'cpl-qtr1'!E29</f>
        <v>267</v>
      </c>
      <c r="E96" s="51">
        <v>0</v>
      </c>
      <c r="F96" s="51">
        <f>'cpl-qtr1'!G29</f>
        <v>10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f>SUM(C96:K96)</f>
        <v>277</v>
      </c>
      <c r="M96" s="22"/>
      <c r="N96" s="22"/>
      <c r="O96" s="22"/>
      <c r="P96" s="22"/>
    </row>
    <row r="97" spans="1:16" ht="12.75">
      <c r="A97" s="49"/>
      <c r="B97" s="40" t="s">
        <v>394</v>
      </c>
      <c r="C97" s="50">
        <f>'cpl-qtr2'!C28</f>
        <v>1101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f>'cpl-qtr1'!J29</f>
        <v>-2</v>
      </c>
      <c r="J97" s="51">
        <f>'cpl-qtr1'!K29</f>
        <v>-42</v>
      </c>
      <c r="K97" s="51">
        <f>'cpl-qtr1'!L29</f>
        <v>-1</v>
      </c>
      <c r="L97" s="51">
        <f>SUM(C97:K97)</f>
        <v>1056</v>
      </c>
      <c r="M97" s="22"/>
      <c r="N97" s="22"/>
      <c r="O97" s="22"/>
      <c r="P97" s="22"/>
    </row>
    <row r="98" spans="1:16" ht="12.75">
      <c r="A98" s="49"/>
      <c r="B98" s="69" t="s">
        <v>417</v>
      </c>
      <c r="C98" s="50"/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f>-'cpl-qtr1'!R27</f>
        <v>-58</v>
      </c>
      <c r="M98" s="22"/>
      <c r="N98" s="22"/>
      <c r="O98" s="22"/>
      <c r="P98" s="22"/>
    </row>
    <row r="99" spans="1:16" ht="12.75">
      <c r="A99" s="49"/>
      <c r="B99" s="69" t="s">
        <v>525</v>
      </c>
      <c r="C99" s="50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f>-'cpl-qtr1'!O20</f>
        <v>-541</v>
      </c>
      <c r="M99" s="22"/>
      <c r="N99" s="22"/>
      <c r="O99" s="22"/>
      <c r="P99" s="22"/>
    </row>
    <row r="100" spans="1:16" ht="13.5" thickBot="1">
      <c r="A100" s="49"/>
      <c r="B100" s="69"/>
      <c r="C100" s="70">
        <f>SUM(C93:C99)</f>
        <v>1101</v>
      </c>
      <c r="D100" s="70">
        <f>SUM(D93:D99)</f>
        <v>267</v>
      </c>
      <c r="E100" s="70">
        <f>SUM(E93:E99)</f>
        <v>-2219</v>
      </c>
      <c r="F100" s="70">
        <f>SUM(F93:F99)</f>
        <v>10</v>
      </c>
      <c r="G100" s="70">
        <f>SUM(G94:G99)</f>
        <v>-242</v>
      </c>
      <c r="H100" s="70">
        <f>SUM(H94:H99)</f>
        <v>3265</v>
      </c>
      <c r="I100" s="70">
        <f>SUM(I93:I99)</f>
        <v>-2</v>
      </c>
      <c r="J100" s="70">
        <f>SUM(J93:J99)</f>
        <v>-42</v>
      </c>
      <c r="K100" s="70">
        <f>SUM(K93:K99)</f>
        <v>-1</v>
      </c>
      <c r="L100" s="70">
        <f>SUM(L93:L99)</f>
        <v>1538</v>
      </c>
      <c r="M100" s="22"/>
      <c r="N100" s="22"/>
      <c r="O100" s="22"/>
      <c r="P100" s="22"/>
    </row>
    <row r="101" spans="1:16" ht="13.5" thickTop="1">
      <c r="A101" s="49"/>
      <c r="B101" s="40"/>
      <c r="C101" s="50"/>
      <c r="D101" s="51"/>
      <c r="E101" s="51"/>
      <c r="F101" s="51"/>
      <c r="G101" s="51"/>
      <c r="H101" s="51"/>
      <c r="I101" s="51"/>
      <c r="J101" s="51"/>
      <c r="K101" s="51"/>
      <c r="L101" s="51"/>
      <c r="M101" s="22"/>
      <c r="N101" s="22"/>
      <c r="O101" s="22"/>
      <c r="P101" s="22"/>
    </row>
    <row r="102" spans="1:16" ht="12.75">
      <c r="A102" s="49"/>
      <c r="B102" s="69" t="s">
        <v>475</v>
      </c>
      <c r="C102" s="50"/>
      <c r="D102" s="51"/>
      <c r="E102" s="51"/>
      <c r="F102" s="51"/>
      <c r="G102" s="51"/>
      <c r="H102" s="51"/>
      <c r="I102" s="51"/>
      <c r="J102" s="51"/>
      <c r="K102" s="51"/>
      <c r="L102" s="51"/>
      <c r="M102" s="22"/>
      <c r="N102" s="22"/>
      <c r="O102" s="22"/>
      <c r="P102" s="22"/>
    </row>
    <row r="103" spans="1:16" ht="12.75">
      <c r="A103" s="49"/>
      <c r="B103" s="40" t="s">
        <v>1058</v>
      </c>
      <c r="C103" s="89">
        <v>0</v>
      </c>
      <c r="D103" s="51">
        <v>0</v>
      </c>
      <c r="E103" s="51">
        <f>'cbs(w)'!D20+SUM('cbs(w)'!D37:D41)+'cbs(w)'!D47</f>
        <v>62808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f>SUM(C103:K103)</f>
        <v>62808</v>
      </c>
      <c r="M103" s="22"/>
      <c r="N103" s="22"/>
      <c r="O103" s="22"/>
      <c r="P103" s="22"/>
    </row>
    <row r="104" spans="1:16" ht="12.75">
      <c r="A104" s="49"/>
      <c r="B104" s="40" t="s">
        <v>1059</v>
      </c>
      <c r="C104" s="50">
        <v>0</v>
      </c>
      <c r="D104" s="51">
        <v>0</v>
      </c>
      <c r="E104" s="51">
        <v>0</v>
      </c>
      <c r="F104" s="51">
        <v>0</v>
      </c>
      <c r="G104" s="51">
        <f>'cbs(w)'!F20+SUM('cbs(w)'!F37:F41)</f>
        <v>64244</v>
      </c>
      <c r="H104" s="51">
        <v>0</v>
      </c>
      <c r="I104" s="51">
        <v>0</v>
      </c>
      <c r="J104" s="51">
        <v>0</v>
      </c>
      <c r="K104" s="51">
        <v>0</v>
      </c>
      <c r="L104" s="51">
        <f>SUM(C104:K104)</f>
        <v>64244</v>
      </c>
      <c r="M104" s="22"/>
      <c r="N104" s="22"/>
      <c r="O104" s="22"/>
      <c r="P104" s="22"/>
    </row>
    <row r="105" spans="1:16" ht="12.75">
      <c r="A105" s="49"/>
      <c r="B105" s="40" t="s">
        <v>1060</v>
      </c>
      <c r="C105" s="50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f>'cbs(w)'!G20+SUM('cbs(w)'!G37:G41)+'cbs(w)'!G44+'cbs(w)'!G51</f>
        <v>169257</v>
      </c>
      <c r="I105" s="51">
        <v>0</v>
      </c>
      <c r="J105" s="51">
        <v>0</v>
      </c>
      <c r="K105" s="51">
        <v>0</v>
      </c>
      <c r="L105" s="51">
        <f>SUM(C105:K105)</f>
        <v>169257</v>
      </c>
      <c r="M105" s="22"/>
      <c r="N105" s="22"/>
      <c r="O105" s="22"/>
      <c r="P105" s="22"/>
    </row>
    <row r="106" spans="1:16" ht="12.75">
      <c r="A106" s="49"/>
      <c r="B106" s="40" t="s">
        <v>198</v>
      </c>
      <c r="C106" s="50">
        <v>0</v>
      </c>
      <c r="D106" s="51">
        <f>'cbs(w)'!C20+SUM('cbs(w)'!C37:C41)+'cbs(w)'!C44</f>
        <v>158840</v>
      </c>
      <c r="E106" s="51">
        <v>0</v>
      </c>
      <c r="F106" s="51">
        <f>'cbs(w)'!E20+SUM('cbs(w)'!E37:E47)</f>
        <v>9910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f>SUM(C106:K106)</f>
        <v>168750</v>
      </c>
      <c r="M106" s="22"/>
      <c r="N106" s="22"/>
      <c r="O106" s="22"/>
      <c r="P106" s="22"/>
    </row>
    <row r="107" spans="1:16" ht="12.75">
      <c r="A107" s="49"/>
      <c r="B107" s="40" t="s">
        <v>394</v>
      </c>
      <c r="C107" s="50">
        <f>'cbs(w)'!B20+SUM('cbs(w)'!B37:B45)</f>
        <v>374526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f>'cbs(w)'!H20+SUM('cbs(w)'!H37:H41)</f>
        <v>94320</v>
      </c>
      <c r="J107" s="51">
        <f>'cbs(w)'!I20+SUM('cbs(w)'!I37:I41)</f>
        <v>3</v>
      </c>
      <c r="K107" s="51">
        <f>'cbs(w)'!J20+SUM('cbs(w)'!J37:J41)</f>
        <v>1458</v>
      </c>
      <c r="L107" s="51">
        <f>SUM(C107:K107)</f>
        <v>470307</v>
      </c>
      <c r="M107" s="22"/>
      <c r="N107" s="22"/>
      <c r="O107" s="22"/>
      <c r="P107" s="22"/>
    </row>
    <row r="108" spans="1:16" ht="12.75">
      <c r="A108" s="49"/>
      <c r="B108" s="69" t="s">
        <v>773</v>
      </c>
      <c r="C108" s="50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f>-SUM(L103:L107)+L109</f>
        <v>-320781</v>
      </c>
      <c r="M108" s="22"/>
      <c r="N108" s="22"/>
      <c r="O108" s="22"/>
      <c r="P108" s="22"/>
    </row>
    <row r="109" spans="1:16" ht="13.5" thickBot="1">
      <c r="A109" s="49"/>
      <c r="B109" s="40"/>
      <c r="C109" s="70">
        <f>SUM(C104:C108)</f>
        <v>374526</v>
      </c>
      <c r="D109" s="70">
        <f aca="true" t="shared" si="11" ref="D109:K109">SUM(D103:D108)</f>
        <v>158840</v>
      </c>
      <c r="E109" s="70">
        <f t="shared" si="11"/>
        <v>62808</v>
      </c>
      <c r="F109" s="70">
        <f t="shared" si="11"/>
        <v>9910</v>
      </c>
      <c r="G109" s="70">
        <f t="shared" si="11"/>
        <v>64244</v>
      </c>
      <c r="H109" s="70">
        <f t="shared" si="11"/>
        <v>169257</v>
      </c>
      <c r="I109" s="70">
        <f t="shared" si="11"/>
        <v>94320</v>
      </c>
      <c r="J109" s="70">
        <f t="shared" si="11"/>
        <v>3</v>
      </c>
      <c r="K109" s="70">
        <f t="shared" si="11"/>
        <v>1458</v>
      </c>
      <c r="L109" s="70">
        <f>'[3]cbs-mar2002'!N20+'[3]cbs-mar2002'!N37+'[3]cbs-mar2002'!N39+'[3]cbs-mar2002'!N41+'[3]cbs-mar2002'!N44+'[3]cbs-mar2002'!N45+'[3]cbs-mar2002'!N47+'[3]cbs-mar2002'!N51+1</f>
        <v>614585</v>
      </c>
      <c r="M109" s="22"/>
      <c r="N109" s="22"/>
      <c r="O109" s="22"/>
      <c r="P109" s="22"/>
    </row>
    <row r="110" spans="1:16" ht="13.5" thickTop="1">
      <c r="A110" s="60"/>
      <c r="B110" s="36"/>
      <c r="C110" s="58"/>
      <c r="D110" s="59"/>
      <c r="E110" s="81"/>
      <c r="F110" s="81"/>
      <c r="G110" s="59"/>
      <c r="H110" s="59"/>
      <c r="I110" s="59"/>
      <c r="J110" s="59"/>
      <c r="K110" s="59"/>
      <c r="L110" s="59"/>
      <c r="M110" s="22"/>
      <c r="N110" s="22"/>
      <c r="O110" s="22"/>
      <c r="P110" s="22"/>
    </row>
    <row r="111" spans="1:16" ht="12.75">
      <c r="A111" s="61"/>
      <c r="B111" s="23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3"/>
    </row>
    <row r="112" spans="1:16" ht="12.75">
      <c r="A112" s="13"/>
      <c r="B112" s="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22"/>
      <c r="N112" s="22"/>
      <c r="O112" s="22"/>
      <c r="P112" s="23"/>
    </row>
    <row r="113" spans="1:16" ht="12.75">
      <c r="A113" s="13"/>
      <c r="B113" s="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22"/>
      <c r="N113" s="22"/>
      <c r="O113" s="22"/>
      <c r="P113" s="23"/>
    </row>
    <row r="114" spans="1:16" ht="12.75">
      <c r="A114" s="13"/>
      <c r="B114" s="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"/>
    </row>
    <row r="115" spans="1:16" ht="12.75">
      <c r="A115" s="13"/>
      <c r="B115" s="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"/>
    </row>
    <row r="116" spans="1:16" ht="12.75">
      <c r="A116" s="13"/>
      <c r="B116" s="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"/>
    </row>
    <row r="117" spans="1:16" ht="12.75">
      <c r="A117" s="13"/>
      <c r="B117" s="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"/>
    </row>
    <row r="118" spans="1:16" ht="12.75">
      <c r="A118" s="1"/>
      <c r="B118" s="6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3:16" s="1" customFormat="1" ht="11.25">
      <c r="C119" s="11"/>
      <c r="D119" s="11"/>
      <c r="E119" s="11"/>
      <c r="F119" s="11"/>
      <c r="G119" s="11"/>
      <c r="H119" s="63"/>
      <c r="I119" s="64"/>
      <c r="J119" s="64"/>
      <c r="K119" s="64"/>
      <c r="L119" s="11"/>
      <c r="M119" s="64"/>
      <c r="N119" s="64"/>
      <c r="O119" s="11"/>
      <c r="P119" s="11"/>
    </row>
  </sheetData>
  <mergeCells count="1">
    <mergeCell ref="M6:N6"/>
  </mergeCells>
  <printOptions/>
  <pageMargins left="0.75" right="0.75" top="0.18" bottom="0.17" header="0.19" footer="0.17"/>
  <pageSetup horizontalDpi="360" verticalDpi="360" orientation="landscape" scale="85" r:id="rId1"/>
  <headerFooter alignWithMargins="0">
    <oddFooter>&amp;R&amp;P&amp;D&amp;T&amp;"Times New Roman,Italic"rusS</oddFooter>
  </headerFooter>
  <rowBreaks count="1" manualBreakCount="1">
    <brk id="46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C17" sqref="C17"/>
    </sheetView>
  </sheetViews>
  <sheetFormatPr defaultColWidth="9.140625" defaultRowHeight="12.75"/>
  <cols>
    <col min="1" max="1" width="22.57421875" style="27" customWidth="1"/>
    <col min="2" max="2" width="18.28125" style="27" customWidth="1"/>
    <col min="3" max="3" width="18.00390625" style="27" customWidth="1"/>
    <col min="4" max="4" width="16.57421875" style="27" customWidth="1"/>
    <col min="5" max="6" width="14.28125" style="27" customWidth="1"/>
    <col min="7" max="8" width="11.421875" style="27" customWidth="1"/>
    <col min="9" max="9" width="11.140625" style="27" customWidth="1"/>
    <col min="10" max="10" width="10.8515625" style="27" customWidth="1"/>
    <col min="11" max="16384" width="9.140625" style="27" customWidth="1"/>
  </cols>
  <sheetData>
    <row r="1" ht="12">
      <c r="A1" s="27" t="s">
        <v>800</v>
      </c>
    </row>
    <row r="2" ht="12">
      <c r="A2" s="27" t="s">
        <v>788</v>
      </c>
    </row>
    <row r="4" spans="1:10" ht="12">
      <c r="A4" s="230" t="s">
        <v>789</v>
      </c>
      <c r="B4" s="230" t="s">
        <v>791</v>
      </c>
      <c r="C4" s="230" t="s">
        <v>793</v>
      </c>
      <c r="D4" s="230" t="s">
        <v>818</v>
      </c>
      <c r="E4" s="230" t="s">
        <v>808</v>
      </c>
      <c r="F4" s="230" t="s">
        <v>809</v>
      </c>
      <c r="G4" s="608" t="s">
        <v>798</v>
      </c>
      <c r="H4" s="609"/>
      <c r="I4" s="608" t="s">
        <v>799</v>
      </c>
      <c r="J4" s="609"/>
    </row>
    <row r="5" spans="1:10" ht="12">
      <c r="A5" s="231" t="s">
        <v>790</v>
      </c>
      <c r="B5" s="231" t="s">
        <v>792</v>
      </c>
      <c r="C5" s="231"/>
      <c r="D5" s="231" t="s">
        <v>819</v>
      </c>
      <c r="E5" s="231" t="s">
        <v>794</v>
      </c>
      <c r="F5" s="231" t="s">
        <v>794</v>
      </c>
      <c r="G5" s="231" t="s">
        <v>795</v>
      </c>
      <c r="H5" s="232" t="s">
        <v>796</v>
      </c>
      <c r="I5" s="231" t="s">
        <v>795</v>
      </c>
      <c r="J5" s="231" t="s">
        <v>797</v>
      </c>
    </row>
    <row r="6" spans="1:10" ht="12">
      <c r="A6" s="233"/>
      <c r="B6" s="233"/>
      <c r="C6" s="233"/>
      <c r="D6" s="233"/>
      <c r="E6" s="233" t="s">
        <v>59</v>
      </c>
      <c r="F6" s="233" t="s">
        <v>59</v>
      </c>
      <c r="G6" s="233" t="s">
        <v>59</v>
      </c>
      <c r="H6" s="234" t="s">
        <v>59</v>
      </c>
      <c r="I6" s="233" t="s">
        <v>59</v>
      </c>
      <c r="J6" s="233" t="s">
        <v>59</v>
      </c>
    </row>
    <row r="7" spans="1:10" ht="12">
      <c r="A7" s="222"/>
      <c r="B7" s="222"/>
      <c r="C7" s="222"/>
      <c r="D7" s="222"/>
      <c r="E7" s="222"/>
      <c r="F7" s="222"/>
      <c r="G7" s="222"/>
      <c r="H7" s="218"/>
      <c r="I7" s="222"/>
      <c r="J7" s="222"/>
    </row>
    <row r="8" spans="1:10" ht="12">
      <c r="A8" s="219" t="s">
        <v>804</v>
      </c>
      <c r="B8" s="223"/>
      <c r="C8" s="223"/>
      <c r="D8" s="223"/>
      <c r="E8" s="223"/>
      <c r="F8" s="223"/>
      <c r="G8" s="223"/>
      <c r="H8" s="220"/>
      <c r="I8" s="223"/>
      <c r="J8" s="223"/>
    </row>
    <row r="9" spans="1:10" ht="12">
      <c r="A9" s="223"/>
      <c r="B9" s="223"/>
      <c r="C9" s="223"/>
      <c r="D9" s="223"/>
      <c r="E9" s="223"/>
      <c r="F9" s="223"/>
      <c r="G9" s="223"/>
      <c r="H9" s="220"/>
      <c r="I9" s="223"/>
      <c r="J9" s="223"/>
    </row>
    <row r="10" spans="1:10" ht="12">
      <c r="A10" s="223"/>
      <c r="B10" s="223"/>
      <c r="C10" s="223"/>
      <c r="D10" s="223"/>
      <c r="E10" s="223"/>
      <c r="F10" s="223"/>
      <c r="G10" s="223"/>
      <c r="H10" s="220"/>
      <c r="I10" s="223"/>
      <c r="J10" s="223"/>
    </row>
    <row r="11" spans="1:10" ht="12">
      <c r="A11" s="223"/>
      <c r="B11" s="223"/>
      <c r="C11" s="223"/>
      <c r="D11" s="223"/>
      <c r="E11" s="223"/>
      <c r="F11" s="223"/>
      <c r="G11" s="223"/>
      <c r="H11" s="220"/>
      <c r="I11" s="223"/>
      <c r="J11" s="223"/>
    </row>
    <row r="12" spans="1:10" ht="12">
      <c r="A12" s="223"/>
      <c r="B12" s="223"/>
      <c r="C12" s="223"/>
      <c r="D12" s="223"/>
      <c r="E12" s="223"/>
      <c r="F12" s="223"/>
      <c r="G12" s="223"/>
      <c r="H12" s="220"/>
      <c r="I12" s="223"/>
      <c r="J12" s="223"/>
    </row>
    <row r="13" spans="1:10" ht="12">
      <c r="A13" s="223"/>
      <c r="B13" s="223"/>
      <c r="C13" s="223"/>
      <c r="D13" s="223"/>
      <c r="E13" s="223"/>
      <c r="F13" s="223"/>
      <c r="G13" s="223"/>
      <c r="H13" s="220"/>
      <c r="I13" s="223"/>
      <c r="J13" s="223"/>
    </row>
    <row r="14" spans="1:10" ht="12">
      <c r="A14" s="223"/>
      <c r="B14" s="223"/>
      <c r="C14" s="223"/>
      <c r="D14" s="223"/>
      <c r="E14" s="223"/>
      <c r="F14" s="223"/>
      <c r="G14" s="223"/>
      <c r="H14" s="220"/>
      <c r="I14" s="223"/>
      <c r="J14" s="223"/>
    </row>
    <row r="15" spans="1:10" ht="12">
      <c r="A15" s="223"/>
      <c r="B15" s="223"/>
      <c r="C15" s="223"/>
      <c r="D15" s="223"/>
      <c r="E15" s="223"/>
      <c r="F15" s="223"/>
      <c r="G15" s="223"/>
      <c r="H15" s="220"/>
      <c r="I15" s="223"/>
      <c r="J15" s="223"/>
    </row>
    <row r="16" spans="1:10" ht="12">
      <c r="A16" s="223"/>
      <c r="B16" s="223"/>
      <c r="C16" s="223"/>
      <c r="D16" s="223"/>
      <c r="E16" s="223"/>
      <c r="F16" s="223"/>
      <c r="G16" s="223"/>
      <c r="H16" s="220"/>
      <c r="I16" s="223"/>
      <c r="J16" s="223"/>
    </row>
    <row r="17" spans="1:10" ht="12">
      <c r="A17" s="223"/>
      <c r="B17" s="223"/>
      <c r="C17" s="223"/>
      <c r="D17" s="223"/>
      <c r="E17" s="223"/>
      <c r="F17" s="223"/>
      <c r="G17" s="223"/>
      <c r="H17" s="220"/>
      <c r="I17" s="223"/>
      <c r="J17" s="223"/>
    </row>
    <row r="18" spans="1:10" ht="12">
      <c r="A18" s="223"/>
      <c r="B18" s="223"/>
      <c r="C18" s="223"/>
      <c r="D18" s="223"/>
      <c r="E18" s="223"/>
      <c r="F18" s="223"/>
      <c r="G18" s="223"/>
      <c r="H18" s="220"/>
      <c r="I18" s="223"/>
      <c r="J18" s="223"/>
    </row>
    <row r="19" spans="1:10" ht="12.75" thickBot="1">
      <c r="A19" s="223"/>
      <c r="B19" s="223"/>
      <c r="C19" s="223"/>
      <c r="D19" s="223"/>
      <c r="E19" s="223"/>
      <c r="F19" s="223"/>
      <c r="G19" s="223"/>
      <c r="H19" s="220"/>
      <c r="I19" s="223"/>
      <c r="J19" s="223"/>
    </row>
    <row r="20" spans="1:10" ht="12.75" thickBot="1">
      <c r="A20" s="229" t="s">
        <v>805</v>
      </c>
      <c r="B20" s="223"/>
      <c r="C20" s="223"/>
      <c r="D20" s="99"/>
      <c r="E20" s="225"/>
      <c r="F20" s="99"/>
      <c r="G20" s="225"/>
      <c r="H20" s="225"/>
      <c r="I20" s="226"/>
      <c r="J20" s="225"/>
    </row>
    <row r="21" spans="1:10" ht="12.75" thickBot="1">
      <c r="A21" s="223"/>
      <c r="B21" s="223"/>
      <c r="C21" s="223"/>
      <c r="D21" s="223"/>
      <c r="E21" s="228"/>
      <c r="F21" s="223"/>
      <c r="G21" s="228"/>
      <c r="H21" s="99"/>
      <c r="I21" s="223"/>
      <c r="J21" s="223"/>
    </row>
    <row r="22" spans="1:10" ht="12.75" thickBot="1">
      <c r="A22" s="219" t="s">
        <v>801</v>
      </c>
      <c r="B22" s="223"/>
      <c r="C22" s="223"/>
      <c r="D22" s="99"/>
      <c r="E22" s="225"/>
      <c r="F22" s="99"/>
      <c r="G22" s="225"/>
      <c r="H22" s="225"/>
      <c r="I22" s="226"/>
      <c r="J22" s="225"/>
    </row>
    <row r="23" spans="1:10" ht="12">
      <c r="A23" s="219"/>
      <c r="B23" s="223"/>
      <c r="C23" s="223"/>
      <c r="D23" s="223"/>
      <c r="E23" s="235"/>
      <c r="F23" s="223"/>
      <c r="G23" s="235"/>
      <c r="H23" s="235"/>
      <c r="I23" s="235"/>
      <c r="J23" s="235"/>
    </row>
    <row r="24" spans="1:10" ht="12">
      <c r="A24" s="223"/>
      <c r="B24" s="223"/>
      <c r="C24" s="223"/>
      <c r="D24" s="223"/>
      <c r="E24" s="223"/>
      <c r="F24" s="223"/>
      <c r="G24" s="223"/>
      <c r="H24" s="220"/>
      <c r="I24" s="223"/>
      <c r="J24" s="223"/>
    </row>
    <row r="25" spans="1:10" ht="12">
      <c r="A25" s="223"/>
      <c r="B25" s="223"/>
      <c r="C25" s="223"/>
      <c r="D25" s="223"/>
      <c r="E25" s="223"/>
      <c r="F25" s="223"/>
      <c r="G25" s="223"/>
      <c r="H25" s="220"/>
      <c r="I25" s="223"/>
      <c r="J25" s="223"/>
    </row>
    <row r="26" spans="1:10" ht="12">
      <c r="A26" s="219" t="s">
        <v>806</v>
      </c>
      <c r="B26" s="223"/>
      <c r="C26" s="223"/>
      <c r="D26" s="223"/>
      <c r="E26" s="223"/>
      <c r="F26" s="223"/>
      <c r="G26" s="223"/>
      <c r="H26" s="220"/>
      <c r="I26" s="223"/>
      <c r="J26" s="223"/>
    </row>
    <row r="27" spans="1:10" ht="12">
      <c r="A27" s="229"/>
      <c r="B27" s="223"/>
      <c r="C27" s="223"/>
      <c r="D27" s="223"/>
      <c r="E27" s="223"/>
      <c r="F27" s="223"/>
      <c r="G27" s="223"/>
      <c r="H27" s="220"/>
      <c r="I27" s="223"/>
      <c r="J27" s="223"/>
    </row>
    <row r="28" spans="1:10" ht="12">
      <c r="A28" s="229"/>
      <c r="B28" s="223"/>
      <c r="C28" s="223"/>
      <c r="D28" s="223"/>
      <c r="E28" s="223"/>
      <c r="F28" s="223"/>
      <c r="G28" s="223"/>
      <c r="H28" s="220"/>
      <c r="I28" s="223"/>
      <c r="J28" s="223"/>
    </row>
    <row r="29" spans="1:10" ht="12">
      <c r="A29" s="223"/>
      <c r="B29" s="223"/>
      <c r="C29" s="223"/>
      <c r="D29" s="223"/>
      <c r="E29" s="223"/>
      <c r="F29" s="223"/>
      <c r="G29" s="223"/>
      <c r="H29" s="220"/>
      <c r="I29" s="223"/>
      <c r="J29" s="223"/>
    </row>
    <row r="30" spans="1:10" ht="12">
      <c r="A30" s="223"/>
      <c r="B30" s="223"/>
      <c r="C30" s="223"/>
      <c r="D30" s="223"/>
      <c r="E30" s="223"/>
      <c r="F30" s="223"/>
      <c r="G30" s="223"/>
      <c r="H30" s="220"/>
      <c r="I30" s="223"/>
      <c r="J30" s="223"/>
    </row>
    <row r="31" spans="1:10" ht="12">
      <c r="A31" s="223"/>
      <c r="B31" s="223"/>
      <c r="C31" s="223"/>
      <c r="D31" s="223"/>
      <c r="E31" s="223"/>
      <c r="F31" s="223"/>
      <c r="G31" s="223"/>
      <c r="H31" s="220"/>
      <c r="I31" s="223"/>
      <c r="J31" s="223"/>
    </row>
    <row r="32" spans="1:10" ht="12.75" thickBot="1">
      <c r="A32" s="229"/>
      <c r="B32" s="223"/>
      <c r="C32" s="223"/>
      <c r="D32" s="223"/>
      <c r="E32" s="223"/>
      <c r="F32" s="223"/>
      <c r="G32" s="223"/>
      <c r="H32" s="220"/>
      <c r="I32" s="223"/>
      <c r="J32" s="223"/>
    </row>
    <row r="33" spans="1:10" ht="12.75" thickBot="1">
      <c r="A33" s="229" t="s">
        <v>807</v>
      </c>
      <c r="B33" s="223"/>
      <c r="C33" s="223"/>
      <c r="D33" s="220"/>
      <c r="E33" s="220"/>
      <c r="F33" s="225"/>
      <c r="G33" s="225"/>
      <c r="H33" s="227"/>
      <c r="I33" s="225"/>
      <c r="J33" s="225"/>
    </row>
    <row r="34" spans="1:10" ht="12">
      <c r="A34" s="223"/>
      <c r="B34" s="223"/>
      <c r="C34" s="223"/>
      <c r="D34" s="223"/>
      <c r="E34" s="223"/>
      <c r="F34" s="223"/>
      <c r="G34" s="223"/>
      <c r="H34" s="220"/>
      <c r="I34" s="223"/>
      <c r="J34" s="223"/>
    </row>
    <row r="35" spans="1:10" ht="12">
      <c r="A35" s="223"/>
      <c r="B35" s="223"/>
      <c r="C35" s="223"/>
      <c r="D35" s="223"/>
      <c r="E35" s="223"/>
      <c r="F35" s="223"/>
      <c r="G35" s="223"/>
      <c r="H35" s="220"/>
      <c r="I35" s="223"/>
      <c r="J35" s="223"/>
    </row>
    <row r="36" spans="1:10" ht="12">
      <c r="A36" s="223"/>
      <c r="B36" s="223"/>
      <c r="C36" s="223"/>
      <c r="D36" s="223"/>
      <c r="E36" s="223"/>
      <c r="F36" s="223"/>
      <c r="G36" s="223"/>
      <c r="H36" s="220"/>
      <c r="I36" s="223"/>
      <c r="J36" s="223"/>
    </row>
    <row r="37" spans="1:10" ht="12">
      <c r="A37" s="223"/>
      <c r="B37" s="223"/>
      <c r="C37" s="223"/>
      <c r="D37" s="223"/>
      <c r="E37" s="223"/>
      <c r="F37" s="223"/>
      <c r="G37" s="223"/>
      <c r="H37" s="220"/>
      <c r="I37" s="223"/>
      <c r="J37" s="223"/>
    </row>
    <row r="38" spans="1:10" ht="12">
      <c r="A38" s="219" t="s">
        <v>810</v>
      </c>
      <c r="B38" s="223"/>
      <c r="C38" s="223"/>
      <c r="D38" s="223"/>
      <c r="E38" s="223"/>
      <c r="F38" s="223"/>
      <c r="G38" s="223"/>
      <c r="H38" s="220"/>
      <c r="I38" s="223"/>
      <c r="J38" s="223"/>
    </row>
    <row r="39" spans="1:10" ht="12">
      <c r="A39" s="219" t="s">
        <v>811</v>
      </c>
      <c r="B39" s="223"/>
      <c r="C39" s="223"/>
      <c r="D39" s="223"/>
      <c r="E39" s="223"/>
      <c r="F39" s="223"/>
      <c r="G39" s="223"/>
      <c r="H39" s="220"/>
      <c r="I39" s="223"/>
      <c r="J39" s="223"/>
    </row>
    <row r="40" spans="1:10" ht="12">
      <c r="A40" s="229"/>
      <c r="B40" s="223"/>
      <c r="C40" s="223"/>
      <c r="D40" s="223"/>
      <c r="E40" s="223"/>
      <c r="F40" s="223"/>
      <c r="G40" s="223"/>
      <c r="H40" s="220"/>
      <c r="I40" s="223"/>
      <c r="J40" s="223"/>
    </row>
    <row r="41" spans="1:10" ht="12">
      <c r="A41" s="229"/>
      <c r="B41" s="223"/>
      <c r="C41" s="223"/>
      <c r="D41" s="223"/>
      <c r="E41" s="223"/>
      <c r="F41" s="223"/>
      <c r="G41" s="223"/>
      <c r="H41" s="220"/>
      <c r="I41" s="223"/>
      <c r="J41" s="223"/>
    </row>
    <row r="42" spans="1:10" ht="12">
      <c r="A42" s="229"/>
      <c r="B42" s="223"/>
      <c r="C42" s="223"/>
      <c r="D42" s="223"/>
      <c r="E42" s="223"/>
      <c r="F42" s="223"/>
      <c r="G42" s="223"/>
      <c r="H42" s="220"/>
      <c r="I42" s="223"/>
      <c r="J42" s="223"/>
    </row>
    <row r="43" spans="1:10" ht="12">
      <c r="A43" s="229"/>
      <c r="B43" s="223"/>
      <c r="C43" s="223"/>
      <c r="D43" s="223"/>
      <c r="E43" s="223"/>
      <c r="F43" s="223"/>
      <c r="G43" s="223"/>
      <c r="H43" s="220"/>
      <c r="I43" s="223"/>
      <c r="J43" s="223"/>
    </row>
    <row r="44" spans="1:10" ht="12.75" thickBot="1">
      <c r="A44" s="229"/>
      <c r="B44" s="223"/>
      <c r="C44" s="223"/>
      <c r="D44" s="223"/>
      <c r="E44" s="223"/>
      <c r="F44" s="223"/>
      <c r="G44" s="223"/>
      <c r="H44" s="220"/>
      <c r="I44" s="223"/>
      <c r="J44" s="223"/>
    </row>
    <row r="45" spans="1:10" ht="12.75" thickBot="1">
      <c r="A45" s="229" t="s">
        <v>812</v>
      </c>
      <c r="B45" s="223"/>
      <c r="C45" s="223"/>
      <c r="D45" s="223"/>
      <c r="E45" s="223"/>
      <c r="F45" s="220"/>
      <c r="G45" s="225"/>
      <c r="H45" s="225"/>
      <c r="I45" s="226"/>
      <c r="J45" s="225"/>
    </row>
    <row r="46" spans="1:10" ht="12">
      <c r="A46" s="224"/>
      <c r="B46" s="224"/>
      <c r="C46" s="224"/>
      <c r="D46" s="224"/>
      <c r="E46" s="224"/>
      <c r="F46" s="224"/>
      <c r="G46" s="224"/>
      <c r="H46" s="221"/>
      <c r="I46" s="224"/>
      <c r="J46" s="224"/>
    </row>
    <row r="47" spans="1:8" ht="12">
      <c r="A47" s="99"/>
      <c r="B47" s="99"/>
      <c r="C47" s="99"/>
      <c r="D47" s="99"/>
      <c r="E47" s="99"/>
      <c r="F47" s="99"/>
      <c r="G47" s="99"/>
      <c r="H47" s="99"/>
    </row>
    <row r="49" ht="12">
      <c r="A49" s="27" t="s">
        <v>816</v>
      </c>
    </row>
    <row r="51" ht="12">
      <c r="A51" s="27" t="s">
        <v>802</v>
      </c>
    </row>
    <row r="54" ht="12">
      <c r="A54" s="27" t="s">
        <v>803</v>
      </c>
    </row>
    <row r="55" ht="12">
      <c r="A55" s="27" t="s">
        <v>815</v>
      </c>
    </row>
    <row r="57" ht="12">
      <c r="A57" s="27" t="s">
        <v>813</v>
      </c>
    </row>
    <row r="58" ht="12">
      <c r="A58" s="27" t="s">
        <v>832</v>
      </c>
    </row>
    <row r="59" ht="12">
      <c r="A59" s="27" t="s">
        <v>817</v>
      </c>
    </row>
  </sheetData>
  <mergeCells count="2">
    <mergeCell ref="G4:H4"/>
    <mergeCell ref="I4:J4"/>
  </mergeCells>
  <printOptions/>
  <pageMargins left="0.75" right="0.75" top="0.22" bottom="0.19" header="0.24" footer="0.22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F4" sqref="F4"/>
    </sheetView>
  </sheetViews>
  <sheetFormatPr defaultColWidth="9.140625" defaultRowHeight="12.75"/>
  <cols>
    <col min="1" max="3" width="9.140625" style="279" customWidth="1"/>
    <col min="4" max="4" width="10.57421875" style="279" customWidth="1"/>
    <col min="5" max="16384" width="9.140625" style="279" customWidth="1"/>
  </cols>
  <sheetData>
    <row r="1" ht="13.5">
      <c r="A1" s="278" t="s">
        <v>363</v>
      </c>
    </row>
    <row r="2" ht="12.75">
      <c r="F2" s="280" t="s">
        <v>726</v>
      </c>
    </row>
    <row r="3" spans="4:10" ht="12.75">
      <c r="D3" s="280" t="s">
        <v>101</v>
      </c>
      <c r="E3" s="280" t="s">
        <v>726</v>
      </c>
      <c r="F3" s="280" t="s">
        <v>727</v>
      </c>
      <c r="G3" s="280" t="s">
        <v>728</v>
      </c>
      <c r="I3" s="279" t="s">
        <v>729</v>
      </c>
      <c r="J3" s="279" t="s">
        <v>730</v>
      </c>
    </row>
    <row r="4" ht="12.75">
      <c r="F4" s="279" t="s">
        <v>731</v>
      </c>
    </row>
    <row r="5" spans="1:10" ht="12.75">
      <c r="A5" s="279" t="s">
        <v>732</v>
      </c>
      <c r="D5" s="281">
        <f>'[3]cbs-mar2002'!G53</f>
        <v>76134</v>
      </c>
      <c r="E5" s="281">
        <f>'[3]cbs-mar2002'!F73</f>
        <v>46957</v>
      </c>
      <c r="F5" s="281">
        <v>0</v>
      </c>
      <c r="G5" s="281">
        <v>-1</v>
      </c>
      <c r="H5" s="279" t="s">
        <v>595</v>
      </c>
      <c r="J5" s="281">
        <v>0</v>
      </c>
    </row>
    <row r="6" spans="4:10" ht="12.75">
      <c r="D6" s="281"/>
      <c r="E6" s="281"/>
      <c r="F6" s="281"/>
      <c r="G6" s="281"/>
      <c r="J6" s="281"/>
    </row>
    <row r="7" spans="1:10" ht="12.75">
      <c r="A7" s="279" t="s">
        <v>733</v>
      </c>
      <c r="D7" s="281"/>
      <c r="E7" s="281">
        <v>-5100</v>
      </c>
      <c r="F7" s="281"/>
      <c r="G7" s="281"/>
      <c r="J7" s="281"/>
    </row>
    <row r="8" spans="1:10" ht="12.75">
      <c r="A8" s="279" t="s">
        <v>734</v>
      </c>
      <c r="D8" s="281"/>
      <c r="E8" s="281"/>
      <c r="F8" s="281"/>
      <c r="G8" s="281"/>
      <c r="J8" s="281">
        <v>0</v>
      </c>
    </row>
    <row r="9" spans="1:10" ht="12.75">
      <c r="A9" s="279" t="s">
        <v>735</v>
      </c>
      <c r="D9" s="268"/>
      <c r="E9" s="268"/>
      <c r="F9" s="268"/>
      <c r="G9" s="268"/>
      <c r="J9" s="268">
        <v>0</v>
      </c>
    </row>
    <row r="10" spans="4:10" ht="12.75">
      <c r="D10" s="281">
        <f>SUM(D5:D7)</f>
        <v>76134</v>
      </c>
      <c r="E10" s="281">
        <f>SUM(E5:E7)</f>
        <v>41857</v>
      </c>
      <c r="F10" s="281">
        <f>F5</f>
        <v>0</v>
      </c>
      <c r="G10" s="281">
        <f>SUM(G5:G7)</f>
        <v>-1</v>
      </c>
      <c r="J10" s="281">
        <f>SUM(J5:J9)</f>
        <v>0</v>
      </c>
    </row>
    <row r="11" spans="4:10" ht="12.75">
      <c r="D11" s="281"/>
      <c r="E11" s="281"/>
      <c r="F11" s="281"/>
      <c r="G11" s="281"/>
      <c r="J11" s="281"/>
    </row>
    <row r="12" spans="1:10" ht="12.75">
      <c r="A12" s="279" t="s">
        <v>736</v>
      </c>
      <c r="D12" s="282">
        <v>0.4999</v>
      </c>
      <c r="E12" s="282">
        <v>0.3884</v>
      </c>
      <c r="F12" s="283"/>
      <c r="G12" s="282">
        <v>0.49</v>
      </c>
      <c r="J12" s="282">
        <v>0</v>
      </c>
    </row>
    <row r="13" spans="4:10" ht="12.75">
      <c r="D13" s="268"/>
      <c r="E13" s="268"/>
      <c r="F13" s="268"/>
      <c r="G13" s="268"/>
      <c r="J13" s="268"/>
    </row>
    <row r="14" spans="4:11" ht="12.75">
      <c r="D14" s="281">
        <f>D10*D12</f>
        <v>38059.3866</v>
      </c>
      <c r="E14" s="281">
        <f>E10*E12</f>
        <v>16257.258800000001</v>
      </c>
      <c r="F14" s="281">
        <v>0</v>
      </c>
      <c r="G14" s="281">
        <f>(G12*G10)</f>
        <v>-0.49</v>
      </c>
      <c r="I14" s="284">
        <f>SUM(D14:G14)</f>
        <v>54316.1554</v>
      </c>
      <c r="J14" s="281">
        <f>J12*J10</f>
        <v>0</v>
      </c>
      <c r="K14" s="279" t="s">
        <v>437</v>
      </c>
    </row>
    <row r="15" spans="1:11" ht="12.75">
      <c r="A15" s="279" t="s">
        <v>741</v>
      </c>
      <c r="B15" s="267"/>
      <c r="C15" s="267"/>
      <c r="D15" s="267"/>
      <c r="E15" s="267"/>
      <c r="F15" s="267"/>
      <c r="G15" s="267"/>
      <c r="H15" s="267"/>
      <c r="J15" s="267"/>
      <c r="K15" s="279" t="s">
        <v>742</v>
      </c>
    </row>
    <row r="16" spans="1:11" ht="12.75">
      <c r="A16" s="279" t="s">
        <v>839</v>
      </c>
      <c r="D16" s="281"/>
      <c r="E16" s="281"/>
      <c r="F16" s="281"/>
      <c r="G16" s="281"/>
      <c r="I16" s="279">
        <v>177</v>
      </c>
      <c r="J16" s="281"/>
      <c r="K16" s="279" t="s">
        <v>743</v>
      </c>
    </row>
    <row r="17" spans="4:11" ht="12.75">
      <c r="D17" s="281" t="s">
        <v>840</v>
      </c>
      <c r="E17" s="281"/>
      <c r="F17" s="281"/>
      <c r="G17" s="281"/>
      <c r="I17" s="279">
        <v>23</v>
      </c>
      <c r="J17" s="281"/>
      <c r="K17" s="279" t="s">
        <v>838</v>
      </c>
    </row>
    <row r="18" spans="4:11" ht="12.75">
      <c r="D18" s="281" t="s">
        <v>232</v>
      </c>
      <c r="I18" s="279">
        <f>196+99</f>
        <v>295</v>
      </c>
      <c r="K18" s="279" t="s">
        <v>596</v>
      </c>
    </row>
    <row r="19" spans="1:11" ht="12.75">
      <c r="A19" s="279" t="s">
        <v>841</v>
      </c>
      <c r="D19" s="281"/>
      <c r="E19" s="281"/>
      <c r="F19" s="281"/>
      <c r="G19" s="281"/>
      <c r="I19" s="279">
        <v>155</v>
      </c>
      <c r="J19" s="281"/>
      <c r="K19" s="279" t="s">
        <v>838</v>
      </c>
    </row>
    <row r="20" spans="1:10" ht="12.75">
      <c r="A20" s="279" t="s">
        <v>737</v>
      </c>
      <c r="I20" s="281"/>
      <c r="J20" s="281"/>
    </row>
    <row r="21" spans="1:11" ht="12.75">
      <c r="A21" s="279" t="s">
        <v>738</v>
      </c>
      <c r="I21" s="281">
        <v>0</v>
      </c>
      <c r="J21" s="281" t="s">
        <v>437</v>
      </c>
      <c r="K21" s="284"/>
    </row>
    <row r="22" spans="1:10" ht="12.75">
      <c r="A22" s="279" t="s">
        <v>739</v>
      </c>
      <c r="I22" s="281">
        <v>3448</v>
      </c>
      <c r="J22" s="281"/>
    </row>
    <row r="23" spans="1:10" ht="12.75">
      <c r="A23" s="279" t="s">
        <v>740</v>
      </c>
      <c r="I23" s="281">
        <v>73390</v>
      </c>
      <c r="J23" s="281"/>
    </row>
    <row r="24" spans="9:10" ht="13.5" thickBot="1">
      <c r="I24" s="269">
        <f>SUM(I14:I23)</f>
        <v>131804.1554</v>
      </c>
      <c r="J24" s="281"/>
    </row>
    <row r="25" spans="9:10" ht="12.75">
      <c r="I25" s="281"/>
      <c r="J25" s="281"/>
    </row>
    <row r="26" ht="12.75">
      <c r="I26" s="281"/>
    </row>
  </sheetData>
  <printOptions/>
  <pageMargins left="0.22" right="0.27" top="0.37" bottom="0.8" header="0.35" footer="0.5"/>
  <pageSetup horizontalDpi="360" verticalDpi="36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B1">
      <selection activeCell="C13" sqref="C13"/>
    </sheetView>
  </sheetViews>
  <sheetFormatPr defaultColWidth="9.140625" defaultRowHeight="12.75"/>
  <cols>
    <col min="1" max="1" width="4.7109375" style="0" customWidth="1"/>
    <col min="2" max="2" width="30.8515625" style="0" customWidth="1"/>
    <col min="8" max="8" width="10.7109375" style="0" customWidth="1"/>
    <col min="15" max="15" width="10.7109375" style="0" customWidth="1"/>
    <col min="16" max="16" width="10.57421875" style="0" customWidth="1"/>
  </cols>
  <sheetData>
    <row r="1" spans="1:16" ht="12.75">
      <c r="A1" s="5" t="s">
        <v>95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66" t="s">
        <v>849</v>
      </c>
    </row>
    <row r="2" spans="1:16" ht="12.75">
      <c r="A2" s="5" t="s">
        <v>777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</row>
    <row r="3" spans="1:16" ht="12.75">
      <c r="A3" s="1" t="s">
        <v>408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3"/>
      <c r="B5" s="33"/>
      <c r="C5" s="389" t="s">
        <v>96</v>
      </c>
      <c r="D5" s="390" t="s">
        <v>97</v>
      </c>
      <c r="E5" s="390" t="s">
        <v>98</v>
      </c>
      <c r="F5" s="390" t="s">
        <v>877</v>
      </c>
      <c r="G5" s="390" t="s">
        <v>100</v>
      </c>
      <c r="H5" s="390" t="s">
        <v>101</v>
      </c>
      <c r="I5" s="390" t="s">
        <v>102</v>
      </c>
      <c r="J5" s="389" t="s">
        <v>103</v>
      </c>
      <c r="K5" s="389" t="s">
        <v>104</v>
      </c>
      <c r="L5" s="34" t="s">
        <v>105</v>
      </c>
      <c r="M5" s="601" t="s">
        <v>106</v>
      </c>
      <c r="N5" s="602"/>
      <c r="O5" s="34">
        <v>2001</v>
      </c>
      <c r="P5" s="35">
        <v>2000</v>
      </c>
    </row>
    <row r="6" spans="1:16" ht="12.75">
      <c r="A6" s="36"/>
      <c r="B6" s="36"/>
      <c r="C6" s="391" t="s">
        <v>107</v>
      </c>
      <c r="D6" s="392"/>
      <c r="E6" s="392" t="s">
        <v>108</v>
      </c>
      <c r="F6" s="392" t="s">
        <v>878</v>
      </c>
      <c r="G6" s="392" t="s">
        <v>110</v>
      </c>
      <c r="H6" s="393"/>
      <c r="I6" s="393"/>
      <c r="J6" s="391" t="s">
        <v>111</v>
      </c>
      <c r="K6" s="391"/>
      <c r="L6" s="37"/>
      <c r="M6" s="38"/>
      <c r="N6" s="37"/>
      <c r="O6" s="610" t="s">
        <v>929</v>
      </c>
      <c r="P6" s="611"/>
    </row>
    <row r="7" spans="1:16" ht="12.75">
      <c r="A7" s="40"/>
      <c r="B7" s="40"/>
      <c r="C7" s="41"/>
      <c r="D7" s="42">
        <v>1</v>
      </c>
      <c r="E7" s="42">
        <v>1</v>
      </c>
      <c r="F7" s="42">
        <v>1</v>
      </c>
      <c r="G7" s="43">
        <f>1-0.3884</f>
        <v>0.6115999999999999</v>
      </c>
      <c r="H7" s="40" t="s">
        <v>112</v>
      </c>
      <c r="I7" s="42">
        <v>1</v>
      </c>
      <c r="J7" s="44">
        <v>0.51</v>
      </c>
      <c r="K7" s="44">
        <v>1</v>
      </c>
      <c r="L7" s="44"/>
      <c r="M7" s="45" t="s">
        <v>113</v>
      </c>
      <c r="N7" s="46" t="s">
        <v>114</v>
      </c>
      <c r="O7" s="106" t="s">
        <v>105</v>
      </c>
      <c r="P7" s="106" t="s">
        <v>105</v>
      </c>
    </row>
    <row r="8" spans="1:16" ht="12.75">
      <c r="A8" s="33"/>
      <c r="B8" s="33"/>
      <c r="C8" s="48"/>
      <c r="D8" s="33"/>
      <c r="E8" s="33"/>
      <c r="F8" s="33"/>
      <c r="G8" s="33"/>
      <c r="H8" s="33"/>
      <c r="I8" s="33"/>
      <c r="J8" s="33"/>
      <c r="K8" s="33"/>
      <c r="L8" s="33"/>
      <c r="M8" s="33"/>
      <c r="N8" s="104"/>
      <c r="O8" s="33"/>
      <c r="P8" s="48"/>
    </row>
    <row r="9" spans="1:16" ht="13.5" thickBot="1">
      <c r="A9" s="49" t="s">
        <v>409</v>
      </c>
      <c r="B9" s="40" t="s">
        <v>752</v>
      </c>
      <c r="C9" s="50">
        <f>506+644+1201+1568</f>
        <v>3919</v>
      </c>
      <c r="D9" s="51">
        <f>9328+6168+3993+16372</f>
        <v>35861</v>
      </c>
      <c r="E9" s="51">
        <f>22211+27168+20884+29540</f>
        <v>99803</v>
      </c>
      <c r="F9" s="51">
        <v>0</v>
      </c>
      <c r="G9" s="51">
        <f>2953+4445+3961+5184</f>
        <v>16543</v>
      </c>
      <c r="H9" s="51">
        <f>1957+2729+7298+9384</f>
        <v>21368</v>
      </c>
      <c r="I9" s="51">
        <v>0</v>
      </c>
      <c r="J9" s="51">
        <v>0</v>
      </c>
      <c r="K9" s="51">
        <v>0</v>
      </c>
      <c r="L9" s="51">
        <f>SUM(C9:K9)</f>
        <v>177494</v>
      </c>
      <c r="M9" s="333">
        <f>694+700</f>
        <v>1394</v>
      </c>
      <c r="N9" s="336">
        <f>-(2723+1304)</f>
        <v>-4027</v>
      </c>
      <c r="O9" s="54">
        <f>L9-M9-M10-N9</f>
        <v>179829</v>
      </c>
      <c r="P9" s="115">
        <v>176574</v>
      </c>
    </row>
    <row r="10" spans="1:16" ht="12.75">
      <c r="A10" s="52"/>
      <c r="B10" s="40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3">
        <f>280+18</f>
        <v>298</v>
      </c>
      <c r="N10" s="51"/>
      <c r="O10" s="51"/>
      <c r="P10" s="51"/>
    </row>
    <row r="11" spans="1:16" ht="13.5" thickBot="1">
      <c r="A11" s="52" t="s">
        <v>402</v>
      </c>
      <c r="B11" s="40" t="s">
        <v>433</v>
      </c>
      <c r="C11" s="50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f>SUM(C11:K11)</f>
        <v>0</v>
      </c>
      <c r="M11" s="51"/>
      <c r="N11" s="51"/>
      <c r="O11" s="54">
        <f>L11</f>
        <v>0</v>
      </c>
      <c r="P11" s="115">
        <v>0</v>
      </c>
    </row>
    <row r="12" spans="1:16" ht="12.75">
      <c r="A12" s="52"/>
      <c r="B12" s="40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3.5" thickBot="1">
      <c r="A13" s="49" t="s">
        <v>411</v>
      </c>
      <c r="B13" s="40" t="s">
        <v>410</v>
      </c>
      <c r="C13" s="50">
        <f>207+203+209+311</f>
        <v>930</v>
      </c>
      <c r="D13" s="51">
        <f>9+7+18+14</f>
        <v>48</v>
      </c>
      <c r="E13" s="51">
        <f>104+301-15+908-27-37+83</f>
        <v>1317</v>
      </c>
      <c r="F13" s="51">
        <f>5+30</f>
        <v>35</v>
      </c>
      <c r="G13" s="51">
        <f>3+2+2+8</f>
        <v>15</v>
      </c>
      <c r="H13" s="51">
        <f>26+19+433-369+369</f>
        <v>478</v>
      </c>
      <c r="I13" s="51">
        <v>1</v>
      </c>
      <c r="J13" s="51">
        <v>0</v>
      </c>
      <c r="K13" s="51">
        <v>50</v>
      </c>
      <c r="L13" s="51">
        <f>SUM(C13:K13)</f>
        <v>2874</v>
      </c>
      <c r="M13" s="333">
        <v>381</v>
      </c>
      <c r="N13" s="336">
        <f>-114-233</f>
        <v>-347</v>
      </c>
      <c r="O13" s="54">
        <f>L13-M13-N13</f>
        <v>2840</v>
      </c>
      <c r="P13" s="115">
        <v>1785</v>
      </c>
    </row>
    <row r="14" spans="1:16" ht="12.75">
      <c r="A14" s="52"/>
      <c r="B14" s="4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2.75">
      <c r="A15" s="49" t="s">
        <v>412</v>
      </c>
      <c r="B15" s="40" t="s">
        <v>415</v>
      </c>
      <c r="C15" s="50">
        <f>554+665+1158+695</f>
        <v>3072</v>
      </c>
      <c r="D15" s="51">
        <f>2427+303-1266+6546</f>
        <v>8010</v>
      </c>
      <c r="E15" s="51">
        <f>1304+301-15+4613+421-37+4321</f>
        <v>10908</v>
      </c>
      <c r="F15" s="51">
        <v>7</v>
      </c>
      <c r="G15" s="51">
        <f>37+1176-1+680+529</f>
        <v>2421</v>
      </c>
      <c r="H15" s="51">
        <f>767+1106+4134+4271</f>
        <v>10278</v>
      </c>
      <c r="I15" s="51">
        <f>-1-32</f>
        <v>-33</v>
      </c>
      <c r="J15" s="51">
        <f>-1-340</f>
        <v>-341</v>
      </c>
      <c r="K15" s="51">
        <f>-3+31</f>
        <v>28</v>
      </c>
      <c r="L15" s="51">
        <f>SUM(C15:K15)</f>
        <v>34350</v>
      </c>
      <c r="M15" s="380">
        <v>381</v>
      </c>
      <c r="N15" s="87">
        <f>-43+10</f>
        <v>-33</v>
      </c>
      <c r="O15" s="51">
        <f>L15-M15-M16-M17-N15-N16</f>
        <v>32714</v>
      </c>
      <c r="P15" s="94">
        <v>25895</v>
      </c>
    </row>
    <row r="16" spans="1:16" ht="12.75">
      <c r="A16" s="52"/>
      <c r="B16" s="40" t="s">
        <v>906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340">
        <f>694+700</f>
        <v>1394</v>
      </c>
      <c r="N16" s="333">
        <v>-334</v>
      </c>
      <c r="O16" s="51"/>
      <c r="P16" s="51"/>
    </row>
    <row r="17" spans="1:16" ht="12.75">
      <c r="A17" s="52"/>
      <c r="B17" s="40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381">
        <v>228</v>
      </c>
      <c r="N17" s="382"/>
      <c r="O17" s="51"/>
      <c r="P17" s="51"/>
    </row>
    <row r="18" spans="1:16" ht="12.75">
      <c r="A18" s="52" t="s">
        <v>402</v>
      </c>
      <c r="B18" s="40" t="s">
        <v>1080</v>
      </c>
      <c r="C18" s="50">
        <f>2+216+192+204+277</f>
        <v>891</v>
      </c>
      <c r="D18" s="51">
        <f>140+132+156+240</f>
        <v>668</v>
      </c>
      <c r="E18" s="51">
        <f>388+275+75+155</f>
        <v>893</v>
      </c>
      <c r="F18" s="51">
        <v>0</v>
      </c>
      <c r="G18" s="51">
        <f>191+183+285+194</f>
        <v>853</v>
      </c>
      <c r="H18" s="51">
        <v>18</v>
      </c>
      <c r="I18" s="51">
        <v>0</v>
      </c>
      <c r="J18" s="51">
        <v>0</v>
      </c>
      <c r="K18" s="51">
        <v>0</v>
      </c>
      <c r="L18" s="51">
        <f>SUM(C18:K18)</f>
        <v>3323</v>
      </c>
      <c r="M18" s="337">
        <f>137+122</f>
        <v>259</v>
      </c>
      <c r="N18" s="333">
        <v>381</v>
      </c>
      <c r="O18" s="51">
        <f>L18+M18-N18</f>
        <v>3201</v>
      </c>
      <c r="P18" s="94">
        <v>3818</v>
      </c>
    </row>
    <row r="19" spans="1:16" ht="12.75">
      <c r="A19" s="52"/>
      <c r="B19" s="4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387">
        <v>63</v>
      </c>
      <c r="N19" s="87"/>
      <c r="O19" s="51"/>
      <c r="P19" s="51"/>
    </row>
    <row r="20" spans="1:16" ht="12.75">
      <c r="A20" s="49" t="s">
        <v>411</v>
      </c>
      <c r="B20" s="40" t="s">
        <v>836</v>
      </c>
      <c r="C20" s="50">
        <f>42+43+44+53</f>
        <v>182</v>
      </c>
      <c r="D20" s="51">
        <f>23+23+23+87</f>
        <v>156</v>
      </c>
      <c r="E20" s="51">
        <f>814+769+535+578</f>
        <v>2696</v>
      </c>
      <c r="F20" s="51">
        <v>0</v>
      </c>
      <c r="G20" s="51">
        <f>385+385+1+385+280</f>
        <v>1436</v>
      </c>
      <c r="H20" s="51">
        <f>274+301+322+292</f>
        <v>1189</v>
      </c>
      <c r="I20" s="51">
        <v>0</v>
      </c>
      <c r="J20" s="51">
        <v>0</v>
      </c>
      <c r="K20" s="51">
        <v>0</v>
      </c>
      <c r="L20" s="51">
        <f>SUM(C20:K20)</f>
        <v>5659</v>
      </c>
      <c r="M20" s="53">
        <f>573+572+541-63+542</f>
        <v>2165</v>
      </c>
      <c r="N20" s="51"/>
      <c r="O20" s="51">
        <f>L20+M19+M20+M21</f>
        <v>8271</v>
      </c>
      <c r="P20" s="94">
        <v>8928</v>
      </c>
    </row>
    <row r="21" spans="1:16" ht="12.75">
      <c r="A21" s="52"/>
      <c r="B21" s="40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388">
        <f>193+191</f>
        <v>384</v>
      </c>
      <c r="N21" s="59"/>
      <c r="O21" s="51"/>
      <c r="P21" s="51"/>
    </row>
    <row r="22" spans="1:16" ht="12.75">
      <c r="A22" s="52" t="s">
        <v>413</v>
      </c>
      <c r="B22" s="40" t="s">
        <v>1084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f>SUM(C22:K22)</f>
        <v>0</v>
      </c>
      <c r="M22" s="51"/>
      <c r="N22" s="51">
        <v>0</v>
      </c>
      <c r="O22" s="51">
        <f>L22</f>
        <v>0</v>
      </c>
      <c r="P22" s="94">
        <v>0</v>
      </c>
    </row>
    <row r="23" spans="1:16" ht="12.75">
      <c r="A23" s="49"/>
      <c r="B23" s="4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9"/>
      <c r="P23" s="59"/>
    </row>
    <row r="24" spans="1:16" ht="12.75">
      <c r="A24" s="52" t="s">
        <v>414</v>
      </c>
      <c r="B24" s="40" t="s">
        <v>416</v>
      </c>
      <c r="C24" s="50">
        <f aca="true" t="shared" si="0" ref="C24:K24">C15-C18-C20-C22</f>
        <v>1999</v>
      </c>
      <c r="D24" s="51">
        <f t="shared" si="0"/>
        <v>7186</v>
      </c>
      <c r="E24" s="51">
        <f t="shared" si="0"/>
        <v>7319</v>
      </c>
      <c r="F24" s="51">
        <f t="shared" si="0"/>
        <v>7</v>
      </c>
      <c r="G24" s="51">
        <f t="shared" si="0"/>
        <v>132</v>
      </c>
      <c r="H24" s="51">
        <f t="shared" si="0"/>
        <v>9071</v>
      </c>
      <c r="I24" s="51">
        <f t="shared" si="0"/>
        <v>-33</v>
      </c>
      <c r="J24" s="51">
        <f t="shared" si="0"/>
        <v>-341</v>
      </c>
      <c r="K24" s="51">
        <f t="shared" si="0"/>
        <v>28</v>
      </c>
      <c r="L24" s="51">
        <f>SUM(C24:K24)</f>
        <v>25368</v>
      </c>
      <c r="M24" s="51"/>
      <c r="N24" s="51"/>
      <c r="O24" s="51">
        <f>O15-O18-O20-O22</f>
        <v>21242</v>
      </c>
      <c r="P24" s="51">
        <f>P15-P18-P20-P22</f>
        <v>13149</v>
      </c>
    </row>
    <row r="25" spans="1:16" ht="12.75">
      <c r="A25" s="52"/>
      <c r="B25" s="4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75">
      <c r="A26" s="52" t="s">
        <v>0</v>
      </c>
      <c r="B26" s="40" t="s">
        <v>417</v>
      </c>
      <c r="C26" s="50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f>SUM(C26:K26)</f>
        <v>0</v>
      </c>
      <c r="M26" s="51">
        <v>236</v>
      </c>
      <c r="N26" s="51"/>
      <c r="O26" s="51">
        <f>M26</f>
        <v>236</v>
      </c>
      <c r="P26" s="94">
        <v>226</v>
      </c>
    </row>
    <row r="27" spans="1:16" ht="12.75">
      <c r="A27" s="52"/>
      <c r="B27" s="40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9"/>
      <c r="P27" s="59"/>
    </row>
    <row r="28" spans="1:16" ht="12.75">
      <c r="A28" s="52" t="s">
        <v>3</v>
      </c>
      <c r="B28" s="40" t="s">
        <v>418</v>
      </c>
      <c r="C28" s="50">
        <f>C24+C26</f>
        <v>1999</v>
      </c>
      <c r="D28" s="51">
        <f>D24+D26</f>
        <v>7186</v>
      </c>
      <c r="E28" s="51">
        <f aca="true" t="shared" si="1" ref="E28:K28">SUM(E24:E27)</f>
        <v>7319</v>
      </c>
      <c r="F28" s="51">
        <f t="shared" si="1"/>
        <v>7</v>
      </c>
      <c r="G28" s="51">
        <f t="shared" si="1"/>
        <v>132</v>
      </c>
      <c r="H28" s="51">
        <f t="shared" si="1"/>
        <v>9071</v>
      </c>
      <c r="I28" s="51">
        <f t="shared" si="1"/>
        <v>-33</v>
      </c>
      <c r="J28" s="51">
        <f t="shared" si="1"/>
        <v>-341</v>
      </c>
      <c r="K28" s="51">
        <f t="shared" si="1"/>
        <v>28</v>
      </c>
      <c r="L28" s="51">
        <f>SUM(C28:K28)</f>
        <v>25368</v>
      </c>
      <c r="M28" s="51"/>
      <c r="N28" s="51"/>
      <c r="O28" s="51">
        <f>O24-O26</f>
        <v>21006</v>
      </c>
      <c r="P28" s="51">
        <f>P24-P26</f>
        <v>12923</v>
      </c>
    </row>
    <row r="29" spans="1:16" ht="12.75">
      <c r="A29" s="52"/>
      <c r="B29" s="40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334">
        <f>5346-(-1992)</f>
        <v>7338</v>
      </c>
      <c r="O29" s="51"/>
      <c r="P29" s="51"/>
    </row>
    <row r="30" spans="1:16" ht="12.75">
      <c r="A30" s="52"/>
      <c r="B30" s="40" t="s">
        <v>879</v>
      </c>
      <c r="C30" s="59">
        <v>0</v>
      </c>
      <c r="D30" s="58">
        <v>0</v>
      </c>
      <c r="E30" s="58">
        <v>37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9">
        <f>SUM(C30:K30)</f>
        <v>37</v>
      </c>
      <c r="M30" s="51"/>
      <c r="N30" s="336">
        <f>-N16+M18+M21+M33</f>
        <v>1025</v>
      </c>
      <c r="O30" s="59">
        <f>8820+L30</f>
        <v>8857</v>
      </c>
      <c r="P30" s="51">
        <v>0</v>
      </c>
    </row>
    <row r="31" spans="1:16" ht="12.75">
      <c r="A31" s="52"/>
      <c r="B31" s="40"/>
      <c r="C31" s="50">
        <f>SUM(C28:C30)</f>
        <v>1999</v>
      </c>
      <c r="D31" s="50">
        <f aca="true" t="shared" si="2" ref="D31:K31">SUM(D28:D30)</f>
        <v>7186</v>
      </c>
      <c r="E31" s="50">
        <f t="shared" si="2"/>
        <v>7356</v>
      </c>
      <c r="F31" s="50">
        <f t="shared" si="2"/>
        <v>7</v>
      </c>
      <c r="G31" s="50">
        <f t="shared" si="2"/>
        <v>132</v>
      </c>
      <c r="H31" s="50">
        <f t="shared" si="2"/>
        <v>9071</v>
      </c>
      <c r="I31" s="50">
        <f t="shared" si="2"/>
        <v>-33</v>
      </c>
      <c r="J31" s="50">
        <f t="shared" si="2"/>
        <v>-341</v>
      </c>
      <c r="K31" s="50">
        <f t="shared" si="2"/>
        <v>28</v>
      </c>
      <c r="L31" s="50">
        <f>SUM(L28:L30)</f>
        <v>25405</v>
      </c>
      <c r="M31" s="51"/>
      <c r="N31" s="334">
        <f>500+63</f>
        <v>563</v>
      </c>
      <c r="O31" s="51"/>
      <c r="P31" s="51"/>
    </row>
    <row r="32" spans="1:16" ht="12.75">
      <c r="A32" s="52"/>
      <c r="B32" s="40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>
        <f>SUM(O28:O30)</f>
        <v>29863</v>
      </c>
      <c r="P32" s="51">
        <f>P28-P30</f>
        <v>12923</v>
      </c>
    </row>
    <row r="33" spans="1:16" ht="12.75">
      <c r="A33" s="52" t="s">
        <v>6</v>
      </c>
      <c r="B33" s="40" t="s">
        <v>7</v>
      </c>
      <c r="C33" s="50">
        <f>82+81+409+360</f>
        <v>932</v>
      </c>
      <c r="D33" s="51">
        <f>640+45-397+1884</f>
        <v>2172</v>
      </c>
      <c r="E33" s="51">
        <f>163+577+242+207</f>
        <v>1189</v>
      </c>
      <c r="F33" s="51">
        <v>2</v>
      </c>
      <c r="G33" s="51">
        <v>0</v>
      </c>
      <c r="H33" s="51">
        <f>138+225+1067+1585</f>
        <v>3015</v>
      </c>
      <c r="I33" s="51">
        <v>0</v>
      </c>
      <c r="J33" s="51">
        <v>0</v>
      </c>
      <c r="K33" s="51">
        <v>8</v>
      </c>
      <c r="L33" s="51">
        <f>SUM(C33:K33)</f>
        <v>7318</v>
      </c>
      <c r="M33" s="336">
        <f>51-3</f>
        <v>48</v>
      </c>
      <c r="N33" s="51">
        <v>364</v>
      </c>
      <c r="O33" s="51">
        <f>L33+M33-N33</f>
        <v>7002</v>
      </c>
      <c r="P33" s="94">
        <v>7072</v>
      </c>
    </row>
    <row r="34" spans="1:16" ht="12.75">
      <c r="A34" s="52"/>
      <c r="B34" s="40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9"/>
      <c r="P34" s="59"/>
    </row>
    <row r="35" spans="1:16" ht="12.75">
      <c r="A35" s="49" t="s">
        <v>419</v>
      </c>
      <c r="B35" s="40" t="s">
        <v>420</v>
      </c>
      <c r="C35" s="50">
        <f>C28-C33</f>
        <v>1067</v>
      </c>
      <c r="D35" s="51">
        <f>D28-D33</f>
        <v>5014</v>
      </c>
      <c r="E35" s="51">
        <f>E28+E30-E33</f>
        <v>6167</v>
      </c>
      <c r="F35" s="51">
        <f>F28-F33</f>
        <v>5</v>
      </c>
      <c r="G35" s="51">
        <f>SUM(G30:G34)</f>
        <v>132</v>
      </c>
      <c r="H35" s="51">
        <f>H28-H33</f>
        <v>6056</v>
      </c>
      <c r="I35" s="51">
        <f>I28-I33</f>
        <v>-33</v>
      </c>
      <c r="J35" s="51">
        <f>J28-J33</f>
        <v>-341</v>
      </c>
      <c r="K35" s="51">
        <f>K28-K33</f>
        <v>20</v>
      </c>
      <c r="L35" s="51">
        <f>SUM(C35:K35)</f>
        <v>18087</v>
      </c>
      <c r="M35" s="51">
        <v>0</v>
      </c>
      <c r="N35" s="51">
        <v>0</v>
      </c>
      <c r="O35" s="51">
        <f>O32-O33</f>
        <v>22861</v>
      </c>
      <c r="P35" s="51">
        <f>P28-P30-P33</f>
        <v>5851</v>
      </c>
    </row>
    <row r="36" spans="1:16" ht="12.75">
      <c r="A36" s="49"/>
      <c r="B36" s="40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ht="12.75">
      <c r="A37" s="49"/>
      <c r="B37" s="40" t="s">
        <v>426</v>
      </c>
      <c r="C37" s="50">
        <v>0</v>
      </c>
      <c r="D37" s="51">
        <v>0</v>
      </c>
      <c r="E37" s="51">
        <f>-68+48+14</f>
        <v>-6</v>
      </c>
      <c r="F37" s="51">
        <v>0</v>
      </c>
      <c r="G37" s="51">
        <v>-1</v>
      </c>
      <c r="H37" s="51">
        <v>0</v>
      </c>
      <c r="I37" s="51">
        <v>0</v>
      </c>
      <c r="J37" s="51">
        <v>0</v>
      </c>
      <c r="K37" s="51">
        <v>0</v>
      </c>
      <c r="L37" s="51">
        <f>SUM(C37:K37)</f>
        <v>-7</v>
      </c>
      <c r="M37" s="51">
        <v>2911</v>
      </c>
      <c r="N37" s="51">
        <v>-9</v>
      </c>
      <c r="O37" s="51">
        <f>SUM(L37:N37)</f>
        <v>2895</v>
      </c>
      <c r="P37" s="94">
        <v>2818</v>
      </c>
    </row>
    <row r="38" spans="1:16" ht="12.75">
      <c r="A38" s="49"/>
      <c r="B38" s="40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2.75">
      <c r="A39" s="52" t="s">
        <v>27</v>
      </c>
      <c r="B39" s="40" t="s">
        <v>28</v>
      </c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9"/>
      <c r="P39" s="59"/>
    </row>
    <row r="40" spans="1:16" ht="12.75">
      <c r="A40" s="49"/>
      <c r="B40" s="40" t="s">
        <v>432</v>
      </c>
      <c r="C40" s="50">
        <f>C35-C37</f>
        <v>1067</v>
      </c>
      <c r="D40" s="51">
        <f>D35-D37</f>
        <v>5014</v>
      </c>
      <c r="E40" s="51">
        <f>E35-E37</f>
        <v>6173</v>
      </c>
      <c r="F40" s="51">
        <f>SUM(F35:F39)</f>
        <v>5</v>
      </c>
      <c r="G40" s="51">
        <f>G35-G37</f>
        <v>133</v>
      </c>
      <c r="H40" s="51">
        <f>H35-H37</f>
        <v>6056</v>
      </c>
      <c r="I40" s="51">
        <f>I35-I37</f>
        <v>-33</v>
      </c>
      <c r="J40" s="51">
        <f>J35-J37</f>
        <v>-341</v>
      </c>
      <c r="K40" s="51">
        <f>K35-K37</f>
        <v>20</v>
      </c>
      <c r="L40" s="51">
        <f>SUM(C40:K40)</f>
        <v>18094</v>
      </c>
      <c r="M40" s="51"/>
      <c r="N40" s="51"/>
      <c r="O40" s="51">
        <f>O35-O37</f>
        <v>19966</v>
      </c>
      <c r="P40" s="51">
        <f>P35-P37</f>
        <v>3033</v>
      </c>
    </row>
    <row r="41" spans="1:16" ht="12.75">
      <c r="A41" s="49"/>
      <c r="B41" s="4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2.75">
      <c r="A42" s="52" t="s">
        <v>30</v>
      </c>
      <c r="B42" s="40" t="s">
        <v>833</v>
      </c>
      <c r="C42" s="50">
        <v>6613</v>
      </c>
      <c r="D42" s="51">
        <v>14210</v>
      </c>
      <c r="E42" s="51">
        <v>12394</v>
      </c>
      <c r="F42" s="51">
        <v>0</v>
      </c>
      <c r="G42" s="51">
        <v>-25954</v>
      </c>
      <c r="H42" s="51">
        <v>42240</v>
      </c>
      <c r="I42" s="51">
        <v>-16</v>
      </c>
      <c r="J42" s="51">
        <v>-16</v>
      </c>
      <c r="K42" s="51">
        <v>854</v>
      </c>
      <c r="L42" s="51">
        <f>SUM(C42:K42)</f>
        <v>50325</v>
      </c>
      <c r="M42" s="333"/>
      <c r="N42" s="51"/>
      <c r="O42" s="51">
        <f>O57</f>
        <v>40428</v>
      </c>
      <c r="P42" s="51">
        <v>38403</v>
      </c>
    </row>
    <row r="43" spans="1:16" ht="12.75">
      <c r="A43" s="49"/>
      <c r="B43" s="4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333"/>
      <c r="N43" s="51"/>
      <c r="O43" s="51"/>
      <c r="P43" s="51"/>
    </row>
    <row r="44" spans="1:16" ht="12.75">
      <c r="A44" s="52" t="s">
        <v>35</v>
      </c>
      <c r="B44" s="40" t="s">
        <v>912</v>
      </c>
      <c r="C44" s="50">
        <f>C42+C40</f>
        <v>7680</v>
      </c>
      <c r="D44" s="51">
        <f>D42+D40-D43</f>
        <v>19224</v>
      </c>
      <c r="E44" s="51">
        <f>E42+E40-E43</f>
        <v>18567</v>
      </c>
      <c r="F44" s="51">
        <f>F42+F40-F43</f>
        <v>5</v>
      </c>
      <c r="G44" s="51">
        <f>G40+G42</f>
        <v>-25821</v>
      </c>
      <c r="H44" s="51">
        <f>H42+H40</f>
        <v>48296</v>
      </c>
      <c r="I44" s="51">
        <f>I42+I40</f>
        <v>-49</v>
      </c>
      <c r="J44" s="51">
        <f>J42+J40</f>
        <v>-357</v>
      </c>
      <c r="K44" s="51">
        <f>K42+K40</f>
        <v>874</v>
      </c>
      <c r="L44" s="51">
        <f>L42+L40-L43</f>
        <v>68419</v>
      </c>
      <c r="M44" s="51"/>
      <c r="N44" s="51"/>
      <c r="O44" s="51">
        <f>O40+O42-O43</f>
        <v>60394</v>
      </c>
      <c r="P44" s="51">
        <f>P40+P42</f>
        <v>41436</v>
      </c>
    </row>
    <row r="45" spans="1:16" ht="12.75">
      <c r="A45" s="52"/>
      <c r="B45" s="40" t="s">
        <v>950</v>
      </c>
      <c r="C45" s="50">
        <v>0</v>
      </c>
      <c r="D45" s="50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f>SUM(C45:K45)</f>
        <v>0</v>
      </c>
      <c r="M45" s="51"/>
      <c r="N45" s="51"/>
      <c r="O45" s="51">
        <f>L45</f>
        <v>0</v>
      </c>
      <c r="P45" s="51"/>
    </row>
    <row r="46" spans="1:16" ht="12.75">
      <c r="A46" s="49"/>
      <c r="B46" s="40" t="s">
        <v>876</v>
      </c>
      <c r="C46" s="50">
        <v>0</v>
      </c>
      <c r="D46" s="51">
        <v>-504</v>
      </c>
      <c r="E46" s="51">
        <v>-500</v>
      </c>
      <c r="F46" s="51">
        <v>0</v>
      </c>
      <c r="G46" s="51">
        <v>0</v>
      </c>
      <c r="H46" s="51">
        <f>-4311-2</f>
        <v>-4313</v>
      </c>
      <c r="I46" s="51">
        <v>0</v>
      </c>
      <c r="J46" s="51">
        <v>0</v>
      </c>
      <c r="K46" s="51">
        <v>0</v>
      </c>
      <c r="L46" s="51">
        <f>SUM(C46:K46)</f>
        <v>-5317</v>
      </c>
      <c r="M46" s="51" t="s">
        <v>193</v>
      </c>
      <c r="N46" s="51">
        <v>-2156</v>
      </c>
      <c r="O46" s="51">
        <f>H46*0.5</f>
        <v>-2156.5</v>
      </c>
      <c r="P46" s="51">
        <v>-1008</v>
      </c>
    </row>
    <row r="47" spans="1:16" ht="13.5" thickBot="1">
      <c r="A47" s="49"/>
      <c r="B47" s="40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341">
        <v>-1004</v>
      </c>
      <c r="O47" s="54"/>
      <c r="P47" s="54"/>
    </row>
    <row r="48" spans="1:16" ht="13.5" thickBot="1">
      <c r="A48" s="60"/>
      <c r="B48" s="36" t="s">
        <v>770</v>
      </c>
      <c r="C48" s="58">
        <f>C44+C45+C46</f>
        <v>7680</v>
      </c>
      <c r="D48" s="58">
        <f aca="true" t="shared" si="3" ref="D48:K48">D44+D45+D46</f>
        <v>18720</v>
      </c>
      <c r="E48" s="58">
        <f t="shared" si="3"/>
        <v>18067</v>
      </c>
      <c r="F48" s="58">
        <f t="shared" si="3"/>
        <v>5</v>
      </c>
      <c r="G48" s="58">
        <f t="shared" si="3"/>
        <v>-25821</v>
      </c>
      <c r="H48" s="58">
        <f t="shared" si="3"/>
        <v>43983</v>
      </c>
      <c r="I48" s="58">
        <f t="shared" si="3"/>
        <v>-49</v>
      </c>
      <c r="J48" s="58">
        <f t="shared" si="3"/>
        <v>-357</v>
      </c>
      <c r="K48" s="58">
        <f t="shared" si="3"/>
        <v>874</v>
      </c>
      <c r="L48" s="58">
        <f>L44+L45+L46</f>
        <v>63102</v>
      </c>
      <c r="M48" s="59"/>
      <c r="N48" s="140"/>
      <c r="O48" s="164">
        <f>SUM(O44:O46)-1</f>
        <v>58236.5</v>
      </c>
      <c r="P48" s="211">
        <f>SUM(P44:P47)</f>
        <v>40428</v>
      </c>
    </row>
    <row r="49" ht="12.75">
      <c r="B49" s="1" t="s">
        <v>640</v>
      </c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13" ht="12.75">
      <c r="B51" s="1" t="s">
        <v>654</v>
      </c>
      <c r="C51" s="1" t="s">
        <v>642</v>
      </c>
      <c r="D51" s="1"/>
      <c r="F51" s="1" t="s">
        <v>643</v>
      </c>
      <c r="G51" s="1"/>
      <c r="I51" s="1" t="s">
        <v>551</v>
      </c>
      <c r="L51" s="338" t="s">
        <v>536</v>
      </c>
      <c r="M51" s="339"/>
    </row>
    <row r="52" spans="2:7" ht="12.75">
      <c r="B52" s="1" t="s">
        <v>655</v>
      </c>
      <c r="C52" s="1" t="s">
        <v>549</v>
      </c>
      <c r="D52" s="1"/>
      <c r="F52" s="1" t="s">
        <v>550</v>
      </c>
      <c r="G52" s="1"/>
    </row>
    <row r="53" spans="2:18" ht="12.75">
      <c r="B53" s="1"/>
      <c r="C53" s="1"/>
      <c r="D53" s="1"/>
      <c r="E53" s="1"/>
      <c r="F53" s="1"/>
      <c r="G53" s="1"/>
      <c r="H53" s="1"/>
      <c r="I53" s="1" t="s">
        <v>555</v>
      </c>
      <c r="J53" s="1"/>
      <c r="L53" s="11"/>
      <c r="M53" s="11">
        <v>40428</v>
      </c>
      <c r="O53" s="11">
        <f>M57</f>
        <v>48266</v>
      </c>
      <c r="P53" s="1" t="s">
        <v>556</v>
      </c>
      <c r="R53" s="517"/>
    </row>
    <row r="54" spans="2:16" ht="12.75">
      <c r="B54" s="1"/>
      <c r="D54" s="1"/>
      <c r="E54" s="1"/>
      <c r="F54" s="1"/>
      <c r="G54" s="1"/>
      <c r="H54" s="1"/>
      <c r="I54" s="1" t="s">
        <v>552</v>
      </c>
      <c r="J54" s="1"/>
      <c r="K54" s="11"/>
      <c r="L54" s="11"/>
      <c r="M54" s="11">
        <v>1992</v>
      </c>
      <c r="O54" s="335">
        <f>-1992-5346</f>
        <v>-7338</v>
      </c>
      <c r="P54" s="1" t="s">
        <v>557</v>
      </c>
    </row>
    <row r="55" spans="2:16" ht="12.75">
      <c r="B55" s="1" t="s">
        <v>542</v>
      </c>
      <c r="C55" s="342" t="s">
        <v>543</v>
      </c>
      <c r="D55" s="342"/>
      <c r="E55" s="342"/>
      <c r="F55" s="1"/>
      <c r="G55" s="1"/>
      <c r="H55" s="1"/>
      <c r="I55" s="1" t="s">
        <v>553</v>
      </c>
      <c r="J55" s="1"/>
      <c r="K55" s="11"/>
      <c r="L55" s="11"/>
      <c r="M55" s="11">
        <v>5346</v>
      </c>
      <c r="O55" s="335">
        <v>-500</v>
      </c>
      <c r="P55" s="1" t="s">
        <v>558</v>
      </c>
    </row>
    <row r="56" spans="2:16" ht="12.75">
      <c r="B56" s="1" t="s">
        <v>582</v>
      </c>
      <c r="C56" s="1" t="s">
        <v>580</v>
      </c>
      <c r="D56" s="1"/>
      <c r="E56" s="1"/>
      <c r="F56" s="1"/>
      <c r="G56" s="1"/>
      <c r="H56" s="1"/>
      <c r="I56" s="1" t="s">
        <v>554</v>
      </c>
      <c r="J56" s="1"/>
      <c r="K56" s="11"/>
      <c r="L56" s="11"/>
      <c r="M56" s="11">
        <v>500</v>
      </c>
      <c r="O56" s="11"/>
      <c r="P56" s="1"/>
    </row>
    <row r="57" spans="2:18" ht="13.5" thickBot="1">
      <c r="B57" s="1" t="s">
        <v>583</v>
      </c>
      <c r="C57" s="1" t="s">
        <v>584</v>
      </c>
      <c r="D57" s="1"/>
      <c r="E57" s="1"/>
      <c r="F57" s="1"/>
      <c r="G57" s="1"/>
      <c r="H57" s="1"/>
      <c r="M57" s="24">
        <f>SUM(M53:M56)</f>
        <v>48266</v>
      </c>
      <c r="O57" s="25">
        <f>SUM(O53:O56)</f>
        <v>40428</v>
      </c>
      <c r="R57" s="476"/>
    </row>
  </sheetData>
  <mergeCells count="2">
    <mergeCell ref="M5:N5"/>
    <mergeCell ref="O6:P6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C15" sqref="C15"/>
    </sheetView>
  </sheetViews>
  <sheetFormatPr defaultColWidth="9.140625" defaultRowHeight="12.75"/>
  <cols>
    <col min="1" max="1" width="3.7109375" style="0" customWidth="1"/>
    <col min="2" max="2" width="24.28125" style="0" customWidth="1"/>
    <col min="3" max="3" width="9.00390625" style="0" customWidth="1"/>
    <col min="4" max="4" width="8.7109375" style="0" customWidth="1"/>
    <col min="5" max="5" width="9.7109375" style="0" customWidth="1"/>
    <col min="6" max="6" width="10.28125" style="0" customWidth="1"/>
    <col min="7" max="7" width="11.00390625" style="0" customWidth="1"/>
    <col min="8" max="8" width="9.7109375" style="0" customWidth="1"/>
    <col min="9" max="9" width="8.7109375" style="0" customWidth="1"/>
    <col min="10" max="10" width="8.57421875" style="0" customWidth="1"/>
    <col min="11" max="11" width="8.421875" style="0" customWidth="1"/>
    <col min="12" max="12" width="10.421875" style="0" customWidth="1"/>
    <col min="13" max="13" width="9.421875" style="0" customWidth="1"/>
    <col min="14" max="14" width="8.421875" style="0" customWidth="1"/>
    <col min="15" max="15" width="9.8515625" style="0" customWidth="1"/>
  </cols>
  <sheetData>
    <row r="1" spans="1:15" ht="12.75">
      <c r="A1" s="5" t="s">
        <v>973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5" t="s">
        <v>778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408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2.75">
      <c r="A4" s="33"/>
      <c r="B4" s="33"/>
      <c r="C4" s="34" t="s">
        <v>96</v>
      </c>
      <c r="D4" s="383" t="s">
        <v>97</v>
      </c>
      <c r="E4" s="383" t="s">
        <v>98</v>
      </c>
      <c r="F4" s="383" t="s">
        <v>99</v>
      </c>
      <c r="G4" s="35" t="s">
        <v>100</v>
      </c>
      <c r="H4" s="383" t="s">
        <v>101</v>
      </c>
      <c r="I4" s="35" t="s">
        <v>102</v>
      </c>
      <c r="J4" s="34" t="s">
        <v>103</v>
      </c>
      <c r="K4" s="34" t="s">
        <v>104</v>
      </c>
      <c r="L4" s="34" t="s">
        <v>105</v>
      </c>
      <c r="M4" s="379" t="s">
        <v>106</v>
      </c>
      <c r="N4" s="34"/>
      <c r="O4" s="34">
        <v>2001</v>
      </c>
      <c r="P4" s="35">
        <v>2000</v>
      </c>
    </row>
    <row r="5" spans="1:16" ht="12.75">
      <c r="A5" s="36"/>
      <c r="B5" s="36"/>
      <c r="C5" s="37" t="s">
        <v>107</v>
      </c>
      <c r="D5" s="384"/>
      <c r="E5" s="384" t="s">
        <v>108</v>
      </c>
      <c r="F5" s="384" t="s">
        <v>109</v>
      </c>
      <c r="G5" s="38" t="s">
        <v>110</v>
      </c>
      <c r="H5" s="385"/>
      <c r="I5" s="39"/>
      <c r="J5" s="37" t="s">
        <v>111</v>
      </c>
      <c r="K5" s="37"/>
      <c r="L5" s="37"/>
      <c r="M5" s="38"/>
      <c r="N5" s="37"/>
      <c r="O5" s="37" t="s">
        <v>105</v>
      </c>
      <c r="P5" s="38" t="s">
        <v>105</v>
      </c>
    </row>
    <row r="6" spans="1:16" ht="12.75">
      <c r="A6" s="40"/>
      <c r="B6" s="40"/>
      <c r="C6" s="41"/>
      <c r="D6" s="42">
        <v>1</v>
      </c>
      <c r="E6" s="42">
        <v>1</v>
      </c>
      <c r="F6" s="42">
        <v>1</v>
      </c>
      <c r="G6" s="43">
        <f>1-0.3884</f>
        <v>0.6115999999999999</v>
      </c>
      <c r="H6" s="40" t="s">
        <v>112</v>
      </c>
      <c r="I6" s="42">
        <v>1</v>
      </c>
      <c r="J6" s="44">
        <v>0.51</v>
      </c>
      <c r="K6" s="44">
        <v>1</v>
      </c>
      <c r="L6" s="44"/>
      <c r="M6" s="45" t="s">
        <v>113</v>
      </c>
      <c r="N6" s="46" t="s">
        <v>114</v>
      </c>
      <c r="O6" s="105"/>
      <c r="P6" s="106" t="s">
        <v>968</v>
      </c>
    </row>
    <row r="7" spans="1:16" ht="12.75">
      <c r="A7" s="33"/>
      <c r="B7" s="33"/>
      <c r="C7" s="48"/>
      <c r="D7" s="33"/>
      <c r="E7" s="33"/>
      <c r="F7" s="33"/>
      <c r="G7" s="33"/>
      <c r="H7" s="33"/>
      <c r="I7" s="33"/>
      <c r="J7" s="33"/>
      <c r="K7" s="33"/>
      <c r="L7" s="33"/>
      <c r="M7" s="33"/>
      <c r="N7" s="104"/>
      <c r="O7" s="33"/>
      <c r="P7" s="40"/>
    </row>
    <row r="8" spans="1:16" ht="13.5" thickBot="1">
      <c r="A8" s="49" t="s">
        <v>409</v>
      </c>
      <c r="B8" s="40" t="s">
        <v>752</v>
      </c>
      <c r="C8" s="366">
        <f>'[2]co.pl - klse summary'!B8</f>
        <v>2228</v>
      </c>
      <c r="D8" s="367">
        <v>48079</v>
      </c>
      <c r="E8" s="367">
        <v>116739</v>
      </c>
      <c r="F8" s="367">
        <v>4027</v>
      </c>
      <c r="G8" s="367">
        <v>12640</v>
      </c>
      <c r="H8" s="367">
        <v>20592</v>
      </c>
      <c r="I8" s="367">
        <v>0</v>
      </c>
      <c r="J8" s="367">
        <v>0</v>
      </c>
      <c r="K8" s="367">
        <v>0</v>
      </c>
      <c r="L8" s="367">
        <f>SUM(C8:K8)</f>
        <v>204305</v>
      </c>
      <c r="M8" s="367">
        <v>200</v>
      </c>
      <c r="N8" s="367"/>
      <c r="O8" s="368">
        <f>L8-M8</f>
        <v>204105</v>
      </c>
      <c r="P8" s="368">
        <v>176574</v>
      </c>
    </row>
    <row r="9" spans="1:16" ht="12.75">
      <c r="A9" s="52"/>
      <c r="B9" s="40"/>
      <c r="C9" s="366"/>
      <c r="D9" s="367"/>
      <c r="E9" s="367"/>
      <c r="F9" s="367"/>
      <c r="G9" s="367"/>
      <c r="H9" s="367"/>
      <c r="I9" s="367"/>
      <c r="J9" s="367"/>
      <c r="K9" s="367"/>
      <c r="L9" s="367"/>
      <c r="M9" s="369"/>
      <c r="N9" s="367"/>
      <c r="O9" s="367"/>
      <c r="P9" s="367"/>
    </row>
    <row r="10" spans="1:16" ht="13.5" thickBot="1">
      <c r="A10" s="52" t="s">
        <v>402</v>
      </c>
      <c r="B10" s="40" t="s">
        <v>433</v>
      </c>
      <c r="C10" s="366">
        <f>'[2]co.pl - klse summary'!B10</f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f>SUM(C10:K10)</f>
        <v>0</v>
      </c>
      <c r="M10" s="367"/>
      <c r="N10" s="367"/>
      <c r="O10" s="368">
        <f>L10</f>
        <v>0</v>
      </c>
      <c r="P10" s="368">
        <f>'[2]cpl - klse 2000'!O10</f>
        <v>0</v>
      </c>
    </row>
    <row r="11" spans="1:16" ht="12.75">
      <c r="A11" s="52"/>
      <c r="B11" s="40"/>
      <c r="C11" s="366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</row>
    <row r="12" spans="1:16" ht="13.5" thickBot="1">
      <c r="A12" s="49" t="s">
        <v>411</v>
      </c>
      <c r="B12" s="40" t="s">
        <v>410</v>
      </c>
      <c r="C12" s="366">
        <f>'[2]co.pl - klse summary'!B12</f>
        <v>414</v>
      </c>
      <c r="D12" s="367">
        <v>128</v>
      </c>
      <c r="E12" s="367">
        <v>1297</v>
      </c>
      <c r="F12" s="367">
        <v>347</v>
      </c>
      <c r="G12" s="367">
        <v>6</v>
      </c>
      <c r="H12" s="367">
        <v>0</v>
      </c>
      <c r="I12" s="367">
        <v>0</v>
      </c>
      <c r="J12" s="367">
        <v>0</v>
      </c>
      <c r="K12" s="367">
        <v>0</v>
      </c>
      <c r="L12" s="367">
        <f>SUM(C12:K12)</f>
        <v>2192</v>
      </c>
      <c r="M12" s="367">
        <v>293</v>
      </c>
      <c r="N12" s="367"/>
      <c r="O12" s="368">
        <f>L12-M12</f>
        <v>1899</v>
      </c>
      <c r="P12" s="368">
        <v>1785</v>
      </c>
    </row>
    <row r="13" spans="1:16" ht="12.75">
      <c r="A13" s="52"/>
      <c r="B13" s="40"/>
      <c r="C13" s="366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</row>
    <row r="14" spans="1:16" ht="12.75">
      <c r="A14" s="49" t="s">
        <v>412</v>
      </c>
      <c r="B14" s="40" t="s">
        <v>415</v>
      </c>
      <c r="C14" s="366">
        <f>'[2]co.pl - klse summary'!B14</f>
        <v>1663</v>
      </c>
      <c r="D14" s="367">
        <v>9554</v>
      </c>
      <c r="E14" s="367">
        <v>13513</v>
      </c>
      <c r="F14" s="367">
        <v>-228</v>
      </c>
      <c r="G14" s="367">
        <v>634</v>
      </c>
      <c r="H14" s="367">
        <v>9796</v>
      </c>
      <c r="I14" s="367">
        <v>-3</v>
      </c>
      <c r="J14" s="367">
        <v>-3</v>
      </c>
      <c r="K14" s="367">
        <v>-6</v>
      </c>
      <c r="L14" s="367">
        <f>SUM(C14:K14)</f>
        <v>34920</v>
      </c>
      <c r="M14" s="367">
        <v>293</v>
      </c>
      <c r="N14" s="367">
        <v>12</v>
      </c>
      <c r="O14" s="367">
        <f>L14-M14-M15+N14</f>
        <v>34439</v>
      </c>
      <c r="P14" s="370">
        <v>25895</v>
      </c>
    </row>
    <row r="15" spans="1:16" ht="12.75">
      <c r="A15" s="52"/>
      <c r="B15" s="40"/>
      <c r="C15" s="366"/>
      <c r="D15" s="367"/>
      <c r="E15" s="367"/>
      <c r="F15" s="367"/>
      <c r="G15" s="367"/>
      <c r="H15" s="367"/>
      <c r="I15" s="367"/>
      <c r="J15" s="367"/>
      <c r="K15" s="367"/>
      <c r="L15" s="367"/>
      <c r="M15" s="369">
        <v>200</v>
      </c>
      <c r="N15" s="367"/>
      <c r="O15" s="367"/>
      <c r="P15" s="370">
        <f>'[2]cpl - klse 2000'!O15</f>
        <v>0</v>
      </c>
    </row>
    <row r="16" spans="1:16" ht="12.75">
      <c r="A16" s="52" t="s">
        <v>402</v>
      </c>
      <c r="B16" s="40" t="s">
        <v>1080</v>
      </c>
      <c r="C16" s="366">
        <f>'[2]co.pl - klse summary'!B16</f>
        <v>478</v>
      </c>
      <c r="D16" s="367">
        <v>543</v>
      </c>
      <c r="E16" s="367">
        <v>935</v>
      </c>
      <c r="F16" s="367">
        <v>259</v>
      </c>
      <c r="G16" s="367">
        <v>699</v>
      </c>
      <c r="H16" s="367">
        <v>0</v>
      </c>
      <c r="I16" s="367">
        <v>0</v>
      </c>
      <c r="J16" s="367">
        <v>0</v>
      </c>
      <c r="K16" s="367">
        <v>0</v>
      </c>
      <c r="L16" s="367">
        <f>SUM(C16:K16)</f>
        <v>2914</v>
      </c>
      <c r="M16" s="369"/>
      <c r="N16" s="367">
        <f>260+21</f>
        <v>281</v>
      </c>
      <c r="O16" s="367">
        <f>L16-N16</f>
        <v>2633</v>
      </c>
      <c r="P16" s="370">
        <v>3818</v>
      </c>
    </row>
    <row r="17" spans="1:16" ht="12.75">
      <c r="A17" s="52"/>
      <c r="B17" s="40"/>
      <c r="C17" s="366"/>
      <c r="D17" s="367"/>
      <c r="E17" s="367"/>
      <c r="F17" s="367"/>
      <c r="G17" s="367"/>
      <c r="H17" s="367"/>
      <c r="I17" s="367"/>
      <c r="J17" s="367"/>
      <c r="K17" s="367"/>
      <c r="L17" s="367"/>
      <c r="M17" s="369"/>
      <c r="N17" s="367"/>
      <c r="O17" s="367"/>
      <c r="P17" s="370">
        <f>'[2]cpl - klse 2000'!O17</f>
        <v>0</v>
      </c>
    </row>
    <row r="18" spans="1:16" ht="12.75">
      <c r="A18" s="49" t="s">
        <v>411</v>
      </c>
      <c r="B18" s="40" t="s">
        <v>1082</v>
      </c>
      <c r="C18" s="366">
        <f>'[2]co.pl - klse summary'!B18</f>
        <v>170</v>
      </c>
      <c r="D18" s="367">
        <v>92</v>
      </c>
      <c r="E18" s="367">
        <v>3026</v>
      </c>
      <c r="F18" s="367">
        <v>384</v>
      </c>
      <c r="G18" s="367">
        <v>1602</v>
      </c>
      <c r="H18" s="367">
        <v>1281</v>
      </c>
      <c r="I18" s="367">
        <v>0</v>
      </c>
      <c r="J18" s="367">
        <v>0</v>
      </c>
      <c r="K18" s="367">
        <v>0</v>
      </c>
      <c r="L18" s="367">
        <f>SUM(C18:K18)</f>
        <v>6555</v>
      </c>
      <c r="M18" s="369">
        <v>2290</v>
      </c>
      <c r="N18" s="367"/>
      <c r="O18" s="367">
        <f>L18+M18</f>
        <v>8845</v>
      </c>
      <c r="P18" s="370">
        <v>8928</v>
      </c>
    </row>
    <row r="19" spans="1:16" ht="12.75">
      <c r="A19" s="52"/>
      <c r="B19" s="40"/>
      <c r="C19" s="366"/>
      <c r="D19" s="367"/>
      <c r="E19" s="367"/>
      <c r="F19" s="367"/>
      <c r="G19" s="367"/>
      <c r="H19" s="367"/>
      <c r="I19" s="367"/>
      <c r="J19" s="367"/>
      <c r="K19" s="367"/>
      <c r="L19" s="367"/>
      <c r="M19" s="369"/>
      <c r="N19" s="367"/>
      <c r="O19" s="367"/>
      <c r="P19" s="370"/>
    </row>
    <row r="20" spans="1:16" ht="12.75">
      <c r="A20" s="52" t="s">
        <v>413</v>
      </c>
      <c r="B20" s="40" t="s">
        <v>969</v>
      </c>
      <c r="C20" s="366">
        <f>'[2]co.pl - klse summary'!B20</f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f>SUM(C20:K20)</f>
        <v>0</v>
      </c>
      <c r="M20" s="367"/>
      <c r="N20" s="367"/>
      <c r="O20" s="367">
        <v>250</v>
      </c>
      <c r="P20" s="370">
        <v>226</v>
      </c>
    </row>
    <row r="21" spans="1:16" ht="12.75">
      <c r="A21" s="49"/>
      <c r="B21" s="40"/>
      <c r="C21" s="366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71"/>
      <c r="P21" s="372"/>
    </row>
    <row r="22" spans="1:16" ht="12.75">
      <c r="A22" s="52" t="s">
        <v>414</v>
      </c>
      <c r="B22" s="40" t="s">
        <v>416</v>
      </c>
      <c r="C22" s="366">
        <f>'[2]co.pl - klse summary'!B22</f>
        <v>1015</v>
      </c>
      <c r="D22" s="367">
        <f>D14-D16-D18-D20</f>
        <v>8919</v>
      </c>
      <c r="E22" s="367">
        <f>+E14-E16-E18</f>
        <v>9552</v>
      </c>
      <c r="F22" s="367">
        <f>+F14-F16-F18</f>
        <v>-871</v>
      </c>
      <c r="G22" s="367">
        <f>+G14-G16-G18</f>
        <v>-1667</v>
      </c>
      <c r="H22" s="367">
        <f>H14-H16-H18-H20</f>
        <v>8515</v>
      </c>
      <c r="I22" s="367">
        <f>I14-I16-I18-I20</f>
        <v>-3</v>
      </c>
      <c r="J22" s="367">
        <f>J14-J16-J18-J20</f>
        <v>-3</v>
      </c>
      <c r="K22" s="367">
        <f>K14-K16-K18-K20</f>
        <v>-6</v>
      </c>
      <c r="L22" s="367">
        <f>SUM(C22:K22)</f>
        <v>25451</v>
      </c>
      <c r="M22" s="367"/>
      <c r="N22" s="367"/>
      <c r="O22" s="367">
        <f>O14-O16-O18-O20</f>
        <v>22711</v>
      </c>
      <c r="P22" s="370">
        <f>P14-P16-P18-P20</f>
        <v>12923</v>
      </c>
    </row>
    <row r="23" spans="1:16" ht="12.75">
      <c r="A23" s="52"/>
      <c r="B23" s="40"/>
      <c r="C23" s="366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70"/>
    </row>
    <row r="24" spans="1:16" ht="12.75">
      <c r="A24" s="52" t="s">
        <v>0</v>
      </c>
      <c r="B24" s="373" t="s">
        <v>970</v>
      </c>
      <c r="C24" s="366">
        <f>'[2]co.pl - klse summary'!B24</f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f>SUM(C24:K24)</f>
        <v>0</v>
      </c>
      <c r="M24" s="367"/>
      <c r="N24" s="367"/>
      <c r="O24" s="374">
        <v>8820</v>
      </c>
      <c r="P24" s="370">
        <v>0</v>
      </c>
    </row>
    <row r="25" spans="1:16" ht="12.75">
      <c r="A25" s="52"/>
      <c r="B25" s="40"/>
      <c r="C25" s="366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71"/>
      <c r="P25" s="372"/>
    </row>
    <row r="26" spans="1:16" ht="12.75">
      <c r="A26" s="52" t="s">
        <v>3</v>
      </c>
      <c r="B26" s="40" t="s">
        <v>418</v>
      </c>
      <c r="C26" s="366">
        <f>'[2]co.pl - klse summary'!B26</f>
        <v>1015</v>
      </c>
      <c r="D26" s="366">
        <f>D22+D24</f>
        <v>8919</v>
      </c>
      <c r="E26" s="367">
        <f>+E22</f>
        <v>9552</v>
      </c>
      <c r="F26" s="367">
        <f>F22-F24</f>
        <v>-871</v>
      </c>
      <c r="G26" s="367">
        <f>G22+G24</f>
        <v>-1667</v>
      </c>
      <c r="H26" s="367">
        <f>H22-H24</f>
        <v>8515</v>
      </c>
      <c r="I26" s="367">
        <f>I22-I24</f>
        <v>-3</v>
      </c>
      <c r="J26" s="367">
        <f>J22-J24</f>
        <v>-3</v>
      </c>
      <c r="K26" s="367">
        <f>K22-K24</f>
        <v>-6</v>
      </c>
      <c r="L26" s="367">
        <f>SUM(C26:K26)</f>
        <v>25451</v>
      </c>
      <c r="M26" s="367"/>
      <c r="N26" s="367"/>
      <c r="O26" s="367">
        <f>O22+O24</f>
        <v>31531</v>
      </c>
      <c r="P26" s="370">
        <f>P22-P24</f>
        <v>12923</v>
      </c>
    </row>
    <row r="27" spans="1:16" ht="12.75">
      <c r="A27" s="52"/>
      <c r="B27" s="40"/>
      <c r="C27" s="366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70"/>
    </row>
    <row r="28" spans="1:16" ht="12.75">
      <c r="A28" s="52" t="s">
        <v>6</v>
      </c>
      <c r="B28" s="40" t="s">
        <v>7</v>
      </c>
      <c r="C28" s="366">
        <f>'[2]co.pl - klse summary'!B28</f>
        <v>285.20000000000005</v>
      </c>
      <c r="D28" s="367">
        <v>2520</v>
      </c>
      <c r="E28" s="367">
        <v>2517</v>
      </c>
      <c r="F28" s="367">
        <v>48</v>
      </c>
      <c r="G28" s="367">
        <v>0</v>
      </c>
      <c r="H28" s="367">
        <v>2384</v>
      </c>
      <c r="I28" s="367">
        <v>0</v>
      </c>
      <c r="J28" s="367">
        <v>0</v>
      </c>
      <c r="K28" s="367">
        <v>0</v>
      </c>
      <c r="L28" s="367">
        <f>SUM(C28:K28)</f>
        <v>7754.2</v>
      </c>
      <c r="M28" s="367"/>
      <c r="N28" s="367">
        <v>56</v>
      </c>
      <c r="O28" s="367">
        <f>L28-N28</f>
        <v>7698.2</v>
      </c>
      <c r="P28" s="370">
        <v>7072</v>
      </c>
    </row>
    <row r="29" spans="1:16" ht="12.75">
      <c r="A29" s="52"/>
      <c r="B29" s="40"/>
      <c r="C29" s="366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71"/>
      <c r="P29" s="372"/>
    </row>
    <row r="30" spans="1:16" ht="12.75">
      <c r="A30" s="49" t="s">
        <v>419</v>
      </c>
      <c r="B30" s="40" t="s">
        <v>420</v>
      </c>
      <c r="C30" s="366">
        <f>'[2]co.pl - klse summary'!B31</f>
        <v>729.8</v>
      </c>
      <c r="D30" s="367">
        <f>D26-D28</f>
        <v>6399</v>
      </c>
      <c r="E30" s="367">
        <f>+E26-E28</f>
        <v>7035</v>
      </c>
      <c r="F30" s="367">
        <f>F26-F28</f>
        <v>-919</v>
      </c>
      <c r="G30" s="367">
        <f>+G22+G24+G28</f>
        <v>-1667</v>
      </c>
      <c r="H30" s="367">
        <f>H26-H28</f>
        <v>6131</v>
      </c>
      <c r="I30" s="367">
        <f>I26-I28</f>
        <v>-3</v>
      </c>
      <c r="J30" s="367">
        <f>J26-J28</f>
        <v>-3</v>
      </c>
      <c r="K30" s="367">
        <f>K26-K28</f>
        <v>-6</v>
      </c>
      <c r="L30" s="367">
        <f>SUM(C30:K30)</f>
        <v>17696.8</v>
      </c>
      <c r="M30" s="367"/>
      <c r="N30" s="367"/>
      <c r="O30" s="367">
        <f>O26-O28</f>
        <v>23832.8</v>
      </c>
      <c r="P30" s="370">
        <f>P26-P28</f>
        <v>5851</v>
      </c>
    </row>
    <row r="31" spans="1:16" ht="12.75">
      <c r="A31" s="49"/>
      <c r="B31" s="40" t="s">
        <v>421</v>
      </c>
      <c r="C31" s="366"/>
      <c r="D31" s="366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24"/>
    </row>
    <row r="32" spans="1:16" ht="12.75">
      <c r="A32" s="49"/>
      <c r="B32" s="40"/>
      <c r="C32" s="366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70"/>
    </row>
    <row r="33" spans="1:16" ht="12.75">
      <c r="A33" s="49"/>
      <c r="B33" s="40" t="s">
        <v>426</v>
      </c>
      <c r="C33" s="366">
        <f>'[2]co.pl - klse summary'!B33</f>
        <v>0</v>
      </c>
      <c r="D33" s="367">
        <v>0</v>
      </c>
      <c r="E33" s="367">
        <v>-19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f>SUM(C33:K33)</f>
        <v>-19</v>
      </c>
      <c r="M33" s="367">
        <f>H30*0.5</f>
        <v>3065.5</v>
      </c>
      <c r="N33" s="367">
        <f>-G30*0.3884</f>
        <v>647.4628</v>
      </c>
      <c r="O33" s="367">
        <f>L33+M33-N33</f>
        <v>2399.0371999999998</v>
      </c>
      <c r="P33" s="370">
        <v>2818</v>
      </c>
    </row>
    <row r="34" spans="1:16" ht="12.75">
      <c r="A34" s="49"/>
      <c r="B34" s="40"/>
      <c r="C34" s="366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70"/>
    </row>
    <row r="35" spans="1:16" ht="12.75">
      <c r="A35" s="52" t="s">
        <v>27</v>
      </c>
      <c r="B35" s="40" t="s">
        <v>28</v>
      </c>
      <c r="C35" s="366"/>
      <c r="D35" s="367"/>
      <c r="E35" s="367"/>
      <c r="F35" s="324"/>
      <c r="G35" s="324"/>
      <c r="I35" s="367"/>
      <c r="J35" s="367"/>
      <c r="K35" s="367"/>
      <c r="L35" s="367"/>
      <c r="M35" s="367"/>
      <c r="N35" s="367"/>
      <c r="O35" s="371"/>
      <c r="P35" s="372"/>
    </row>
    <row r="36" spans="1:16" ht="12.75">
      <c r="A36" s="49"/>
      <c r="B36" s="40" t="s">
        <v>432</v>
      </c>
      <c r="C36" s="366">
        <f>C30-C33</f>
        <v>729.8</v>
      </c>
      <c r="D36" s="366">
        <f>D30-D33</f>
        <v>6399</v>
      </c>
      <c r="E36" s="367">
        <f>+E30-E33</f>
        <v>7054</v>
      </c>
      <c r="F36" s="367">
        <f>F30-F33</f>
        <v>-919</v>
      </c>
      <c r="G36" s="367">
        <f>+G30-G33</f>
        <v>-1667</v>
      </c>
      <c r="H36" s="367">
        <f>H30-H33</f>
        <v>6131</v>
      </c>
      <c r="I36" s="367">
        <f>I30-I33</f>
        <v>-3</v>
      </c>
      <c r="J36" s="367">
        <f>J30-J33</f>
        <v>-3</v>
      </c>
      <c r="K36" s="367">
        <f>K30-K33</f>
        <v>-6</v>
      </c>
      <c r="L36" s="367">
        <f>SUM(C36:K36)</f>
        <v>17715.8</v>
      </c>
      <c r="M36" s="367"/>
      <c r="N36" s="367"/>
      <c r="O36" s="367">
        <f>O30-O33</f>
        <v>21433.7628</v>
      </c>
      <c r="P36" s="370">
        <f>P30-P33</f>
        <v>3033</v>
      </c>
    </row>
    <row r="37" spans="1:16" ht="12.75">
      <c r="A37" s="49"/>
      <c r="B37" s="40"/>
      <c r="C37" s="366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70"/>
    </row>
    <row r="38" spans="1:16" ht="12.75">
      <c r="A38" s="52" t="s">
        <v>30</v>
      </c>
      <c r="B38" s="40" t="s">
        <v>972</v>
      </c>
      <c r="C38" s="366">
        <f>'[2]co.pl - klse summary'!B38</f>
        <v>0</v>
      </c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7">
        <f>SUM(C38:K38)</f>
        <v>0</v>
      </c>
      <c r="M38" s="367"/>
      <c r="N38" s="367"/>
      <c r="O38" s="367">
        <f>L38</f>
        <v>0</v>
      </c>
      <c r="P38" s="370">
        <f>'[2]cpl - klse 2000'!O38</f>
        <v>0</v>
      </c>
    </row>
    <row r="39" spans="1:16" ht="12.75">
      <c r="A39" s="49"/>
      <c r="B39" s="40"/>
      <c r="C39" s="366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71"/>
      <c r="P39" s="372"/>
    </row>
    <row r="40" spans="1:16" ht="12.75">
      <c r="A40" s="52" t="s">
        <v>35</v>
      </c>
      <c r="B40" s="40" t="s">
        <v>991</v>
      </c>
      <c r="C40" s="366">
        <f>C36-C38</f>
        <v>729.8</v>
      </c>
      <c r="D40" s="366">
        <f>D36-D38</f>
        <v>6399</v>
      </c>
      <c r="E40" s="366">
        <f>+E36</f>
        <v>7054</v>
      </c>
      <c r="F40" s="366">
        <f>F36-F38</f>
        <v>-919</v>
      </c>
      <c r="G40" s="366">
        <f>+G36-G38</f>
        <v>-1667</v>
      </c>
      <c r="H40" s="366">
        <f>H36-H38</f>
        <v>6131</v>
      </c>
      <c r="I40" s="366">
        <f>I36-I38</f>
        <v>-3</v>
      </c>
      <c r="J40" s="366">
        <f>J36-J38</f>
        <v>-3</v>
      </c>
      <c r="K40" s="366">
        <f>K36-K38</f>
        <v>-6</v>
      </c>
      <c r="L40" s="367">
        <f>SUM(C40:K40)</f>
        <v>17715.8</v>
      </c>
      <c r="M40" s="367"/>
      <c r="N40" s="367"/>
      <c r="O40" s="367">
        <f>O36-O38</f>
        <v>21433.7628</v>
      </c>
      <c r="P40" s="370">
        <f>P36-P38</f>
        <v>3033</v>
      </c>
    </row>
    <row r="41" spans="1:16" ht="12.75">
      <c r="A41" s="52"/>
      <c r="B41" s="40"/>
      <c r="C41" s="366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70"/>
    </row>
    <row r="42" spans="1:16" ht="12.75">
      <c r="A42" s="49"/>
      <c r="B42" s="40" t="s">
        <v>992</v>
      </c>
      <c r="C42" s="366">
        <v>6613</v>
      </c>
      <c r="D42" s="367">
        <v>14210</v>
      </c>
      <c r="E42" s="367">
        <f>12393</f>
        <v>12393</v>
      </c>
      <c r="F42" s="367">
        <v>-1993</v>
      </c>
      <c r="G42" s="367">
        <v>-25953</v>
      </c>
      <c r="H42" s="367">
        <v>42240</v>
      </c>
      <c r="I42" s="367">
        <v>-16</v>
      </c>
      <c r="J42" s="367">
        <v>-16</v>
      </c>
      <c r="K42" s="367">
        <v>854</v>
      </c>
      <c r="L42" s="367">
        <f>SUM(C42:K42)</f>
        <v>48332</v>
      </c>
      <c r="M42" s="367"/>
      <c r="N42" s="367"/>
      <c r="O42" s="367">
        <f>P45</f>
        <v>40428</v>
      </c>
      <c r="P42" s="370">
        <v>38403</v>
      </c>
    </row>
    <row r="43" spans="1:16" ht="12.75">
      <c r="A43" s="49"/>
      <c r="B43" s="40" t="s">
        <v>974</v>
      </c>
      <c r="C43" s="366">
        <v>0</v>
      </c>
      <c r="D43" s="367">
        <v>0</v>
      </c>
      <c r="E43" s="367">
        <v>24</v>
      </c>
      <c r="F43" s="367">
        <v>0</v>
      </c>
      <c r="G43" s="367">
        <v>0</v>
      </c>
      <c r="H43" s="367">
        <v>0</v>
      </c>
      <c r="I43" s="367">
        <v>0</v>
      </c>
      <c r="J43" s="367">
        <v>0</v>
      </c>
      <c r="K43" s="367">
        <v>0</v>
      </c>
      <c r="L43" s="367">
        <v>24</v>
      </c>
      <c r="M43" s="367"/>
      <c r="N43" s="367"/>
      <c r="O43" s="367">
        <v>24</v>
      </c>
      <c r="P43" s="370">
        <v>-1008</v>
      </c>
    </row>
    <row r="44" spans="1:16" ht="12.75">
      <c r="A44" s="49"/>
      <c r="B44" s="40" t="s">
        <v>976</v>
      </c>
      <c r="C44" s="366">
        <v>0</v>
      </c>
      <c r="D44" s="366">
        <v>0</v>
      </c>
      <c r="E44" s="366">
        <v>0</v>
      </c>
      <c r="F44" s="366">
        <v>0</v>
      </c>
      <c r="G44" s="366">
        <v>0</v>
      </c>
      <c r="H44" s="367">
        <v>-4311</v>
      </c>
      <c r="I44" s="367">
        <v>0</v>
      </c>
      <c r="J44" s="367">
        <v>0</v>
      </c>
      <c r="K44" s="367">
        <v>0</v>
      </c>
      <c r="L44" s="367">
        <v>-4311</v>
      </c>
      <c r="M44" s="367"/>
      <c r="N44" s="367"/>
      <c r="O44" s="367">
        <v>-2156</v>
      </c>
      <c r="P44" s="370">
        <v>0</v>
      </c>
    </row>
    <row r="45" spans="1:16" ht="13.5" thickBot="1">
      <c r="A45" s="60"/>
      <c r="B45" s="36" t="s">
        <v>993</v>
      </c>
      <c r="C45" s="375">
        <f>C40+C42</f>
        <v>7342.8</v>
      </c>
      <c r="D45" s="371">
        <f>D40+D42</f>
        <v>20609</v>
      </c>
      <c r="E45" s="371">
        <f>SUM(E40:E43)</f>
        <v>19471</v>
      </c>
      <c r="F45" s="376">
        <f>F40+F42</f>
        <v>-2912</v>
      </c>
      <c r="G45" s="371">
        <f>+G40+G42</f>
        <v>-27620</v>
      </c>
      <c r="H45" s="371">
        <f>SUM(H40:H44)</f>
        <v>44060</v>
      </c>
      <c r="I45" s="371">
        <f>I40+I42</f>
        <v>-19</v>
      </c>
      <c r="J45" s="371">
        <f>J40+J42</f>
        <v>-19</v>
      </c>
      <c r="K45" s="371">
        <f>K40+K42</f>
        <v>848</v>
      </c>
      <c r="L45" s="371">
        <f>SUM(L40:L44)</f>
        <v>61760.8</v>
      </c>
      <c r="M45" s="371"/>
      <c r="N45" s="371">
        <v>144</v>
      </c>
      <c r="O45" s="377">
        <f>SUM(O40:O44)</f>
        <v>59729.7628</v>
      </c>
      <c r="P45" s="378">
        <f>SUM(P40:P43)</f>
        <v>40428</v>
      </c>
    </row>
    <row r="46" spans="1:15" ht="12.75">
      <c r="A46" s="13"/>
      <c r="B46" s="1" t="s">
        <v>640</v>
      </c>
      <c r="C46" s="1"/>
      <c r="D46" s="1"/>
      <c r="E46" s="1"/>
      <c r="F46" s="1"/>
      <c r="G46" s="1"/>
      <c r="H46" s="1"/>
      <c r="I46" s="1"/>
      <c r="K46" s="11"/>
      <c r="L46" s="11"/>
      <c r="M46" s="11"/>
      <c r="O46" s="11"/>
    </row>
    <row r="47" spans="1:15" ht="12.75">
      <c r="A47" s="13"/>
      <c r="B47" s="2" t="s">
        <v>641</v>
      </c>
      <c r="C47" s="1"/>
      <c r="D47" s="1"/>
      <c r="E47" s="1"/>
      <c r="F47" s="1"/>
      <c r="G47" s="1"/>
      <c r="H47" s="1"/>
      <c r="I47" s="1"/>
      <c r="K47" s="11"/>
      <c r="L47" s="11"/>
      <c r="O47" s="11"/>
    </row>
    <row r="48" spans="1:15" ht="12.75">
      <c r="A48" s="13"/>
      <c r="B48" s="1" t="s">
        <v>977</v>
      </c>
      <c r="C48" s="1"/>
      <c r="D48" s="1"/>
      <c r="E48" s="1" t="s">
        <v>642</v>
      </c>
      <c r="F48" s="1"/>
      <c r="G48" s="1"/>
      <c r="H48" s="1" t="s">
        <v>643</v>
      </c>
      <c r="I48" s="1"/>
      <c r="K48" s="11" t="s">
        <v>978</v>
      </c>
      <c r="L48" s="11"/>
      <c r="M48" s="11"/>
      <c r="N48" s="11"/>
      <c r="O48" s="11"/>
    </row>
    <row r="49" spans="1:15" ht="12.75">
      <c r="A49" s="13"/>
      <c r="B49" s="1" t="s">
        <v>994</v>
      </c>
      <c r="C49" s="1"/>
      <c r="D49" s="1"/>
      <c r="E49" s="1" t="s">
        <v>979</v>
      </c>
      <c r="F49" s="1"/>
      <c r="G49" s="1"/>
      <c r="H49" s="1" t="s">
        <v>980</v>
      </c>
      <c r="I49" s="1"/>
      <c r="K49" s="11" t="s">
        <v>995</v>
      </c>
      <c r="L49" s="11"/>
      <c r="M49" s="11"/>
      <c r="N49" s="11"/>
      <c r="O49" s="11"/>
    </row>
    <row r="50" spans="1:15" ht="12.75">
      <c r="A50" s="13"/>
      <c r="B50" s="1" t="s">
        <v>996</v>
      </c>
      <c r="C50" s="1"/>
      <c r="D50" s="1"/>
      <c r="E50" s="1" t="s">
        <v>981</v>
      </c>
      <c r="F50" s="1"/>
      <c r="G50" s="1"/>
      <c r="H50" s="1" t="s">
        <v>982</v>
      </c>
      <c r="I50" s="1"/>
      <c r="K50" s="11" t="s">
        <v>997</v>
      </c>
      <c r="L50" s="11"/>
      <c r="M50" s="11"/>
      <c r="N50" s="11"/>
      <c r="O50" s="11"/>
    </row>
    <row r="51" spans="1:15" ht="12.75">
      <c r="A51" s="13"/>
      <c r="B51" s="1"/>
      <c r="C51" s="1"/>
      <c r="D51" s="1"/>
      <c r="E51" s="1"/>
      <c r="F51" s="1"/>
      <c r="G51" s="1"/>
      <c r="H51" s="1"/>
      <c r="I51" s="1"/>
      <c r="K51" s="11" t="s">
        <v>999</v>
      </c>
      <c r="L51" s="11"/>
      <c r="M51" s="11"/>
      <c r="N51" s="11"/>
      <c r="O51" s="11"/>
    </row>
    <row r="52" spans="1:15" ht="12.75">
      <c r="A52" s="1"/>
      <c r="B52" s="2" t="s">
        <v>644</v>
      </c>
      <c r="D52" s="1"/>
      <c r="E52" s="2" t="s">
        <v>998</v>
      </c>
      <c r="F52" s="1"/>
      <c r="G52" s="1"/>
      <c r="H52" s="1"/>
      <c r="I52" s="1"/>
      <c r="K52" s="11"/>
      <c r="L52" s="11"/>
      <c r="M52" s="11"/>
      <c r="N52" s="11"/>
      <c r="O52" s="11"/>
    </row>
    <row r="53" spans="1:15" ht="12.75">
      <c r="A53" s="1"/>
      <c r="B53" s="1" t="s">
        <v>647</v>
      </c>
      <c r="D53" s="1"/>
      <c r="E53" s="1" t="s">
        <v>989</v>
      </c>
      <c r="F53" s="1"/>
      <c r="G53" s="1"/>
      <c r="H53" s="1"/>
      <c r="I53" s="1"/>
      <c r="K53" s="64"/>
      <c r="L53" s="386"/>
      <c r="M53" s="64" t="s">
        <v>990</v>
      </c>
      <c r="N53" s="64"/>
      <c r="O53" s="11"/>
    </row>
    <row r="54" spans="2:5" ht="12.75">
      <c r="B54" s="1"/>
      <c r="E54" s="1"/>
    </row>
  </sheetData>
  <printOptions horizontalCentered="1"/>
  <pageMargins left="0" right="0.21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45">
      <selection activeCell="F52" sqref="F52"/>
    </sheetView>
  </sheetViews>
  <sheetFormatPr defaultColWidth="9.140625" defaultRowHeight="12.75"/>
  <cols>
    <col min="5" max="5" width="9.8515625" style="0" bestFit="1" customWidth="1"/>
    <col min="6" max="6" width="12.7109375" style="0" customWidth="1"/>
    <col min="7" max="7" width="4.7109375" style="0" customWidth="1"/>
    <col min="8" max="8" width="13.00390625" style="0" customWidth="1"/>
  </cols>
  <sheetData>
    <row r="1" spans="1:8" ht="15">
      <c r="A1" s="3" t="s">
        <v>1055</v>
      </c>
      <c r="B1" s="1"/>
      <c r="C1" s="1"/>
      <c r="D1" s="1"/>
      <c r="E1" s="1"/>
      <c r="F1" s="1"/>
      <c r="G1" s="4"/>
      <c r="H1" s="583"/>
    </row>
    <row r="2" spans="1:7" ht="12.75">
      <c r="A2" s="1" t="s">
        <v>1064</v>
      </c>
      <c r="B2" s="1"/>
      <c r="C2" s="1"/>
      <c r="D2" s="1"/>
      <c r="E2" s="1"/>
      <c r="F2" s="1"/>
      <c r="G2" s="1"/>
    </row>
    <row r="3" spans="1:7" ht="12.75">
      <c r="A3" s="1" t="s">
        <v>1065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ht="12.75">
      <c r="A5" s="18" t="s">
        <v>567</v>
      </c>
    </row>
    <row r="6" spans="1:12" ht="12.75">
      <c r="A6" s="18"/>
      <c r="F6" s="599"/>
      <c r="G6" s="599"/>
      <c r="H6" s="599"/>
      <c r="J6" s="599"/>
      <c r="K6" s="599"/>
      <c r="L6" s="599"/>
    </row>
    <row r="7" spans="6:12" ht="12.75">
      <c r="F7" s="7" t="s">
        <v>55</v>
      </c>
      <c r="G7" s="5"/>
      <c r="H7" s="7" t="s">
        <v>55</v>
      </c>
      <c r="I7" s="1"/>
      <c r="J7" s="8"/>
      <c r="L7" s="8"/>
    </row>
    <row r="8" spans="6:12" ht="12.75">
      <c r="F8" s="7" t="s">
        <v>56</v>
      </c>
      <c r="G8" s="5"/>
      <c r="H8" s="7" t="s">
        <v>49</v>
      </c>
      <c r="I8" s="1"/>
      <c r="J8" s="8"/>
      <c r="L8" s="8"/>
    </row>
    <row r="9" spans="6:12" ht="12.75">
      <c r="F9" s="7" t="s">
        <v>46</v>
      </c>
      <c r="G9" s="5"/>
      <c r="H9" s="7" t="s">
        <v>57</v>
      </c>
      <c r="I9" s="1"/>
      <c r="J9" s="8"/>
      <c r="L9" s="8"/>
    </row>
    <row r="10" spans="6:12" ht="12.75">
      <c r="F10" s="7" t="s">
        <v>48</v>
      </c>
      <c r="G10" s="5"/>
      <c r="H10" s="7" t="s">
        <v>58</v>
      </c>
      <c r="I10" s="1"/>
      <c r="J10" s="8"/>
      <c r="L10" s="8"/>
    </row>
    <row r="11" spans="6:12" ht="12.75">
      <c r="F11" s="16" t="s">
        <v>932</v>
      </c>
      <c r="G11" s="5"/>
      <c r="H11" s="16" t="s">
        <v>1063</v>
      </c>
      <c r="I11" s="1"/>
      <c r="J11" s="19"/>
      <c r="L11" s="19"/>
    </row>
    <row r="12" spans="6:12" ht="12.75">
      <c r="F12" s="7" t="s">
        <v>59</v>
      </c>
      <c r="G12" s="5"/>
      <c r="H12" s="7" t="s">
        <v>59</v>
      </c>
      <c r="I12" s="1"/>
      <c r="J12" s="8"/>
      <c r="L12" s="8"/>
    </row>
    <row r="13" spans="6:12" ht="12.75">
      <c r="F13" s="7"/>
      <c r="G13" s="5"/>
      <c r="H13" s="7"/>
      <c r="I13" s="1"/>
      <c r="J13" s="8"/>
      <c r="L13" s="8"/>
    </row>
    <row r="14" spans="1:12" ht="12.75">
      <c r="A14" s="1" t="s">
        <v>507</v>
      </c>
      <c r="B14" s="1"/>
      <c r="C14" s="1"/>
      <c r="D14" s="1"/>
      <c r="E14" s="11"/>
      <c r="F14" s="11">
        <f>'cbs(w)'!B41</f>
        <v>11281</v>
      </c>
      <c r="G14" s="11"/>
      <c r="H14" s="11">
        <v>11375</v>
      </c>
      <c r="I14" s="1"/>
      <c r="J14" s="8"/>
      <c r="L14" s="8"/>
    </row>
    <row r="15" spans="1:12" ht="12.75">
      <c r="A15" s="1" t="s">
        <v>1046</v>
      </c>
      <c r="B15" s="1"/>
      <c r="C15" s="1"/>
      <c r="D15" s="1"/>
      <c r="E15" s="11"/>
      <c r="F15" s="11"/>
      <c r="G15" s="11"/>
      <c r="H15" s="11"/>
      <c r="I15" s="1"/>
      <c r="J15" s="8"/>
      <c r="L15" s="8"/>
    </row>
    <row r="16" spans="1:12" ht="12.75">
      <c r="A16" s="1" t="s">
        <v>1047</v>
      </c>
      <c r="B16" s="1"/>
      <c r="C16" s="1"/>
      <c r="D16" s="1"/>
      <c r="E16" s="11">
        <v>18005</v>
      </c>
      <c r="F16" s="11"/>
      <c r="G16" s="11"/>
      <c r="H16" s="11"/>
      <c r="I16" s="1"/>
      <c r="J16" s="8"/>
      <c r="L16" s="8"/>
    </row>
    <row r="17" spans="1:12" ht="12.75">
      <c r="A17" s="1" t="s">
        <v>1048</v>
      </c>
      <c r="B17" s="1"/>
      <c r="C17" s="1"/>
      <c r="D17" s="1"/>
      <c r="E17" s="11">
        <v>94315</v>
      </c>
      <c r="F17" s="11"/>
      <c r="G17" s="11"/>
      <c r="H17" s="11"/>
      <c r="I17" s="1"/>
      <c r="J17" s="8"/>
      <c r="L17" s="8"/>
    </row>
    <row r="18" spans="1:12" ht="12.75">
      <c r="A18" s="1" t="s">
        <v>1049</v>
      </c>
      <c r="B18" s="1"/>
      <c r="C18" s="1"/>
      <c r="D18" s="1"/>
      <c r="E18" s="11">
        <f>-'cbs(w)'!C49</f>
        <v>106425</v>
      </c>
      <c r="F18" s="11"/>
      <c r="G18" s="11"/>
      <c r="H18" s="11"/>
      <c r="I18" s="1"/>
      <c r="J18" s="8"/>
      <c r="L18" s="8"/>
    </row>
    <row r="19" spans="1:12" ht="12.75">
      <c r="A19" s="1" t="s">
        <v>1050</v>
      </c>
      <c r="B19" s="1"/>
      <c r="C19" s="1"/>
      <c r="D19" s="1"/>
      <c r="E19" s="11">
        <f>-'cbs(w)'!E49</f>
        <v>9519</v>
      </c>
      <c r="F19" s="11"/>
      <c r="G19" s="11"/>
      <c r="H19" s="11"/>
      <c r="I19" s="1"/>
      <c r="J19" s="8"/>
      <c r="L19" s="8"/>
    </row>
    <row r="20" spans="1:12" ht="12.75">
      <c r="A20" s="1" t="s">
        <v>1051</v>
      </c>
      <c r="B20" s="1"/>
      <c r="C20" s="1"/>
      <c r="D20" s="1"/>
      <c r="E20" s="65">
        <f>-'cbs(w)'!J16</f>
        <v>-1381</v>
      </c>
      <c r="F20" s="11">
        <f>SUM(E16:E20)</f>
        <v>226883</v>
      </c>
      <c r="G20" s="11"/>
      <c r="H20" s="11">
        <v>227494</v>
      </c>
      <c r="I20" s="1"/>
      <c r="J20" s="8"/>
      <c r="L20" s="8"/>
    </row>
    <row r="21" spans="1:12" ht="12.75">
      <c r="A21" s="1" t="s">
        <v>1045</v>
      </c>
      <c r="B21" s="1"/>
      <c r="C21" s="1"/>
      <c r="D21" s="1"/>
      <c r="E21" s="11"/>
      <c r="F21" s="11"/>
      <c r="G21" s="11"/>
      <c r="H21" s="11"/>
      <c r="I21" s="1"/>
      <c r="J21" s="8"/>
      <c r="L21" s="8"/>
    </row>
    <row r="22" spans="1:12" ht="12.75">
      <c r="A22" s="1" t="s">
        <v>1052</v>
      </c>
      <c r="B22" s="1"/>
      <c r="C22" s="1"/>
      <c r="D22" s="1"/>
      <c r="E22" s="11"/>
      <c r="F22" s="11">
        <f>'cbs(w)'!B39</f>
        <v>3992</v>
      </c>
      <c r="G22" s="11"/>
      <c r="H22" s="11">
        <v>3992</v>
      </c>
      <c r="I22" s="1"/>
      <c r="J22" s="8"/>
      <c r="L22" s="8"/>
    </row>
    <row r="23" spans="1:12" ht="12.75">
      <c r="A23" s="1" t="s">
        <v>1053</v>
      </c>
      <c r="B23" s="1"/>
      <c r="C23" s="1"/>
      <c r="D23" s="1"/>
      <c r="E23" s="11">
        <v>25</v>
      </c>
      <c r="F23" s="11"/>
      <c r="G23" s="11"/>
      <c r="H23" s="11">
        <v>25</v>
      </c>
      <c r="I23" s="1"/>
      <c r="J23" s="8"/>
      <c r="L23" s="8"/>
    </row>
    <row r="24" spans="1:12" ht="12.75">
      <c r="A24" s="1" t="s">
        <v>1054</v>
      </c>
      <c r="B24" s="1"/>
      <c r="C24" s="1"/>
      <c r="D24" s="1"/>
      <c r="E24" s="65">
        <f>'cbs(w)'!B37-25</f>
        <v>4623</v>
      </c>
      <c r="F24" s="11">
        <f>SUM(E23:E24)</f>
        <v>4648</v>
      </c>
      <c r="G24" s="11"/>
      <c r="H24" s="11">
        <v>4623</v>
      </c>
      <c r="I24" s="1"/>
      <c r="J24" s="8"/>
      <c r="L24" s="8"/>
    </row>
    <row r="25" spans="1:12" ht="12.75">
      <c r="A25" s="1" t="s">
        <v>510</v>
      </c>
      <c r="B25" s="1"/>
      <c r="C25" s="1"/>
      <c r="D25" s="1"/>
      <c r="E25" s="11"/>
      <c r="F25" s="11">
        <f>'cbs(w)'!B47</f>
        <v>0</v>
      </c>
      <c r="G25" s="11"/>
      <c r="H25" s="11">
        <v>0</v>
      </c>
      <c r="I25" s="1"/>
      <c r="J25" s="8"/>
      <c r="L25" s="8"/>
    </row>
    <row r="26" spans="1:12" ht="12.75">
      <c r="A26" s="1" t="s">
        <v>511</v>
      </c>
      <c r="B26" s="20"/>
      <c r="C26" s="1"/>
      <c r="D26" s="1"/>
      <c r="E26" s="11"/>
      <c r="F26" s="11">
        <v>0</v>
      </c>
      <c r="G26" s="11"/>
      <c r="H26" s="11">
        <v>0</v>
      </c>
      <c r="I26" s="11"/>
      <c r="J26" s="8"/>
      <c r="L26" s="8"/>
    </row>
    <row r="27" spans="1:12" ht="12.75">
      <c r="A27" s="1" t="s">
        <v>512</v>
      </c>
      <c r="B27" s="1"/>
      <c r="C27" s="1"/>
      <c r="D27" s="1"/>
      <c r="E27" s="11"/>
      <c r="F27" s="11"/>
      <c r="G27" s="11"/>
      <c r="H27" s="11"/>
      <c r="I27" s="1"/>
      <c r="J27" s="8"/>
      <c r="L27" s="8"/>
    </row>
    <row r="28" spans="1:12" ht="12.75">
      <c r="A28" s="1"/>
      <c r="B28" s="20" t="s">
        <v>515</v>
      </c>
      <c r="C28" s="1"/>
      <c r="D28" s="1"/>
      <c r="E28" s="11"/>
      <c r="F28" s="87">
        <f>'cbs(w)'!B8+'cbs(w)'!B9</f>
        <v>1480</v>
      </c>
      <c r="G28" s="11"/>
      <c r="H28" s="87">
        <v>345</v>
      </c>
      <c r="I28" s="1"/>
      <c r="J28" s="8"/>
      <c r="L28" s="8"/>
    </row>
    <row r="29" spans="1:12" ht="12.75">
      <c r="A29" s="1"/>
      <c r="B29" s="20" t="s">
        <v>516</v>
      </c>
      <c r="C29" s="1"/>
      <c r="D29" s="1"/>
      <c r="E29" s="11"/>
      <c r="F29" s="51">
        <f>'cbs(w)'!B10</f>
        <v>0</v>
      </c>
      <c r="G29" s="11"/>
      <c r="H29" s="51">
        <v>0</v>
      </c>
      <c r="I29" s="1"/>
      <c r="J29" s="8"/>
      <c r="L29" s="8"/>
    </row>
    <row r="30" spans="1:12" ht="12.75">
      <c r="A30" s="1"/>
      <c r="B30" s="20" t="s">
        <v>517</v>
      </c>
      <c r="C30" s="1"/>
      <c r="D30" s="1"/>
      <c r="E30" s="11"/>
      <c r="F30" s="51">
        <f>'cbs(w)'!B12</f>
        <v>19242</v>
      </c>
      <c r="G30" s="11"/>
      <c r="H30" s="51">
        <v>18463</v>
      </c>
      <c r="I30" s="1"/>
      <c r="J30" s="8"/>
      <c r="L30" s="8"/>
    </row>
    <row r="31" spans="1:12" ht="12.75">
      <c r="A31" s="1"/>
      <c r="B31" s="20" t="s">
        <v>60</v>
      </c>
      <c r="C31" s="1"/>
      <c r="D31" s="1"/>
      <c r="E31" s="11"/>
      <c r="F31" s="51">
        <f>'cbs(w)'!B11</f>
        <v>0</v>
      </c>
      <c r="G31" s="11"/>
      <c r="H31" s="51">
        <v>0</v>
      </c>
      <c r="I31" s="1"/>
      <c r="J31" s="8"/>
      <c r="L31" s="8"/>
    </row>
    <row r="32" spans="1:12" ht="12.75">
      <c r="A32" s="1"/>
      <c r="B32" s="20" t="s">
        <v>518</v>
      </c>
      <c r="C32" s="1"/>
      <c r="D32" s="1"/>
      <c r="E32" s="11"/>
      <c r="F32" s="51">
        <f>'cbs(w)'!B17</f>
        <v>0</v>
      </c>
      <c r="G32" s="11"/>
      <c r="H32" s="51">
        <v>0</v>
      </c>
      <c r="I32" s="1"/>
      <c r="J32" s="8"/>
      <c r="L32" s="8"/>
    </row>
    <row r="33" spans="1:12" ht="12.75">
      <c r="A33" s="1"/>
      <c r="B33" s="20" t="s">
        <v>488</v>
      </c>
      <c r="C33" s="1"/>
      <c r="D33" s="1"/>
      <c r="E33" s="11"/>
      <c r="F33" s="51">
        <f>'cbs(w)'!B15</f>
        <v>80138</v>
      </c>
      <c r="G33" s="11"/>
      <c r="H33" s="51">
        <v>79895</v>
      </c>
      <c r="I33" s="1"/>
      <c r="J33" s="8"/>
      <c r="L33" s="8"/>
    </row>
    <row r="34" spans="1:12" ht="12.75">
      <c r="A34" s="1"/>
      <c r="B34" s="20" t="s">
        <v>545</v>
      </c>
      <c r="C34" s="1"/>
      <c r="D34" s="1"/>
      <c r="E34" s="11"/>
      <c r="F34" s="51">
        <f>'cbs(w)'!B14</f>
        <v>22964</v>
      </c>
      <c r="G34" s="11"/>
      <c r="H34" s="51">
        <v>22802</v>
      </c>
      <c r="I34" s="1"/>
      <c r="J34" s="8"/>
      <c r="L34" s="8"/>
    </row>
    <row r="35" spans="1:12" ht="12.75">
      <c r="A35" s="1"/>
      <c r="B35" s="20" t="s">
        <v>1044</v>
      </c>
      <c r="C35" s="1"/>
      <c r="D35" s="1"/>
      <c r="E35" s="11"/>
      <c r="F35" s="51">
        <f>'cbs(w)'!B13+'cbs(w)'!B19</f>
        <v>2517</v>
      </c>
      <c r="G35" s="11"/>
      <c r="H35" s="51">
        <v>2654</v>
      </c>
      <c r="I35" s="1"/>
      <c r="J35" s="8"/>
      <c r="L35" s="8"/>
    </row>
    <row r="36" spans="1:12" ht="12.75">
      <c r="A36" s="1"/>
      <c r="B36" s="1"/>
      <c r="C36" s="1"/>
      <c r="D36" s="1"/>
      <c r="E36" s="11"/>
      <c r="F36" s="68">
        <f>SUM(F28:F35)</f>
        <v>126341</v>
      </c>
      <c r="G36" s="11"/>
      <c r="H36" s="68">
        <f>SUM(H28:H35)</f>
        <v>124159</v>
      </c>
      <c r="I36" s="1"/>
      <c r="J36" s="8"/>
      <c r="L36" s="8"/>
    </row>
    <row r="37" spans="1:9" ht="12.75">
      <c r="A37" s="1" t="s">
        <v>513</v>
      </c>
      <c r="B37" s="1"/>
      <c r="C37" s="1"/>
      <c r="D37" s="1"/>
      <c r="E37" s="11"/>
      <c r="F37" s="51"/>
      <c r="G37" s="11"/>
      <c r="H37" s="51"/>
      <c r="I37" s="1"/>
    </row>
    <row r="38" spans="1:13" ht="12.75">
      <c r="A38" s="1" t="s">
        <v>62</v>
      </c>
      <c r="B38" s="20" t="s">
        <v>63</v>
      </c>
      <c r="C38" s="1"/>
      <c r="D38" s="1"/>
      <c r="E38" s="11"/>
      <c r="F38" s="51">
        <f>'cbs(w)'!B23</f>
        <v>100184</v>
      </c>
      <c r="G38" s="11"/>
      <c r="H38" s="51">
        <v>100370</v>
      </c>
      <c r="I38" s="11"/>
      <c r="J38" s="11"/>
      <c r="K38" s="11"/>
      <c r="L38" s="11"/>
      <c r="M38" s="1"/>
    </row>
    <row r="39" spans="1:13" ht="12.75">
      <c r="A39" s="1"/>
      <c r="B39" s="20" t="s">
        <v>519</v>
      </c>
      <c r="C39" s="1"/>
      <c r="D39" s="1"/>
      <c r="E39" s="11"/>
      <c r="F39" s="51">
        <f>'cbs(w)'!B24</f>
        <v>0</v>
      </c>
      <c r="G39" s="11"/>
      <c r="H39" s="51">
        <v>0</v>
      </c>
      <c r="I39" s="11"/>
      <c r="J39" s="11"/>
      <c r="K39" s="11"/>
      <c r="L39" s="11"/>
      <c r="M39" s="1"/>
    </row>
    <row r="40" spans="1:13" ht="12.75">
      <c r="A40" s="1"/>
      <c r="B40" s="20" t="s">
        <v>520</v>
      </c>
      <c r="C40" s="1"/>
      <c r="D40" s="1"/>
      <c r="E40" s="11"/>
      <c r="F40" s="51">
        <f>'cbs(w)'!B25</f>
        <v>2645</v>
      </c>
      <c r="G40" s="11"/>
      <c r="H40" s="51">
        <v>2176</v>
      </c>
      <c r="I40" s="11"/>
      <c r="J40" s="11"/>
      <c r="K40" s="11"/>
      <c r="L40" s="11"/>
      <c r="M40" s="1"/>
    </row>
    <row r="41" spans="1:13" ht="12.75">
      <c r="A41" s="1"/>
      <c r="B41" s="20" t="s">
        <v>546</v>
      </c>
      <c r="C41" s="1"/>
      <c r="D41" s="1"/>
      <c r="E41" s="11"/>
      <c r="F41" s="51">
        <f>'cbs(w)'!B31</f>
        <v>0</v>
      </c>
      <c r="G41" s="11"/>
      <c r="H41" s="51">
        <v>0</v>
      </c>
      <c r="I41" s="11"/>
      <c r="J41" s="11"/>
      <c r="K41" s="11"/>
      <c r="L41" s="11"/>
      <c r="M41" s="1"/>
    </row>
    <row r="42" spans="1:13" ht="12.75">
      <c r="A42" s="1"/>
      <c r="B42" s="20" t="s">
        <v>521</v>
      </c>
      <c r="C42" s="1"/>
      <c r="D42" s="1"/>
      <c r="E42" s="11"/>
      <c r="F42" s="51">
        <f>'cbs(w)'!B26</f>
        <v>1104</v>
      </c>
      <c r="G42" s="11"/>
      <c r="H42" s="51">
        <v>909</v>
      </c>
      <c r="I42" s="11"/>
      <c r="J42" s="11"/>
      <c r="K42" s="11"/>
      <c r="L42" s="11"/>
      <c r="M42" s="1"/>
    </row>
    <row r="43" spans="1:13" ht="12.75">
      <c r="A43" s="1"/>
      <c r="B43" s="1"/>
      <c r="C43" s="1"/>
      <c r="D43" s="1"/>
      <c r="E43" s="11"/>
      <c r="F43" s="68">
        <f>SUM(F38:F42)</f>
        <v>103933</v>
      </c>
      <c r="G43" s="11"/>
      <c r="H43" s="68">
        <f>SUM(H38:H42)</f>
        <v>103455</v>
      </c>
      <c r="I43" s="11"/>
      <c r="J43" s="11"/>
      <c r="K43" s="11"/>
      <c r="L43" s="11"/>
      <c r="M43" s="1"/>
    </row>
    <row r="44" spans="1:13" ht="12.75">
      <c r="A44" s="1"/>
      <c r="B44" s="1"/>
      <c r="C44" s="1"/>
      <c r="D44" s="1"/>
      <c r="E44" s="11"/>
      <c r="F44" s="22"/>
      <c r="G44" s="11"/>
      <c r="H44" s="11"/>
      <c r="I44" s="11"/>
      <c r="J44" s="11"/>
      <c r="K44" s="11"/>
      <c r="L44" s="11"/>
      <c r="M44" s="1"/>
    </row>
    <row r="45" spans="1:13" ht="12.75">
      <c r="A45" s="1" t="s">
        <v>514</v>
      </c>
      <c r="B45" s="1"/>
      <c r="C45" s="1"/>
      <c r="D45" s="1"/>
      <c r="E45" s="11"/>
      <c r="F45" s="11">
        <f>F36-F43</f>
        <v>22408</v>
      </c>
      <c r="G45" s="11"/>
      <c r="H45" s="11">
        <f>H36-H43</f>
        <v>20704</v>
      </c>
      <c r="I45" s="11"/>
      <c r="J45" s="11"/>
      <c r="K45" s="11"/>
      <c r="L45" s="11"/>
      <c r="M45" s="1"/>
    </row>
    <row r="46" spans="5:13" ht="12.75">
      <c r="E46" s="11"/>
      <c r="F46" s="11"/>
      <c r="G46" s="11"/>
      <c r="H46" s="11"/>
      <c r="I46" s="11"/>
      <c r="J46" s="11"/>
      <c r="K46" s="11"/>
      <c r="L46" s="11"/>
      <c r="M46" s="1"/>
    </row>
    <row r="47" spans="5:12" s="1" customFormat="1" ht="12" thickBot="1">
      <c r="E47" s="11"/>
      <c r="F47" s="25">
        <f>SUM(F14:F26)+F45</f>
        <v>269212</v>
      </c>
      <c r="G47" s="22"/>
      <c r="H47" s="25">
        <f>SUM(H14:H26)+H45</f>
        <v>268213</v>
      </c>
      <c r="I47" s="11"/>
      <c r="J47" s="22"/>
      <c r="K47" s="22"/>
      <c r="L47" s="22"/>
    </row>
    <row r="48" spans="1:13" ht="12.75">
      <c r="A48" s="1" t="s">
        <v>489</v>
      </c>
      <c r="B48" s="1"/>
      <c r="C48" s="1"/>
      <c r="D48" s="1"/>
      <c r="E48" s="11"/>
      <c r="F48" s="11"/>
      <c r="G48" s="11"/>
      <c r="H48" s="11"/>
      <c r="I48" s="11"/>
      <c r="J48" s="22"/>
      <c r="K48" s="22"/>
      <c r="L48" s="22"/>
      <c r="M48" s="1"/>
    </row>
    <row r="49" spans="1:13" ht="12.75">
      <c r="A49" s="1" t="s">
        <v>523</v>
      </c>
      <c r="B49" s="1"/>
      <c r="C49" s="1"/>
      <c r="D49" s="1"/>
      <c r="E49" s="11"/>
      <c r="F49" s="11">
        <f>'cbs(w)'!B57</f>
        <v>70000</v>
      </c>
      <c r="G49" s="11"/>
      <c r="H49" s="11">
        <v>70000</v>
      </c>
      <c r="I49" s="11"/>
      <c r="J49" s="22"/>
      <c r="K49" s="22"/>
      <c r="L49" s="22"/>
      <c r="M49" s="1"/>
    </row>
    <row r="50" spans="1:13" ht="12.75">
      <c r="A50" s="1" t="s">
        <v>534</v>
      </c>
      <c r="B50" s="1"/>
      <c r="C50" s="1"/>
      <c r="D50" s="1"/>
      <c r="E50" s="11"/>
      <c r="F50" s="11"/>
      <c r="G50" s="11"/>
      <c r="H50" s="11"/>
      <c r="I50" s="11"/>
      <c r="J50" s="22"/>
      <c r="K50" s="22"/>
      <c r="L50" s="22"/>
      <c r="M50" s="1"/>
    </row>
    <row r="51" spans="1:13" ht="12.75">
      <c r="A51" s="1"/>
      <c r="B51" s="20" t="s">
        <v>493</v>
      </c>
      <c r="C51" s="1"/>
      <c r="D51" s="1"/>
      <c r="E51" s="11"/>
      <c r="F51" s="11">
        <f>'cbs(w)'!B59</f>
        <v>190497</v>
      </c>
      <c r="G51" s="11"/>
      <c r="H51" s="11">
        <v>190497</v>
      </c>
      <c r="I51" s="11"/>
      <c r="J51" s="22"/>
      <c r="K51" s="22"/>
      <c r="L51" s="22"/>
      <c r="M51" s="1"/>
    </row>
    <row r="52" spans="1:13" ht="12.75">
      <c r="A52" s="1"/>
      <c r="B52" s="20" t="s">
        <v>66</v>
      </c>
      <c r="C52" s="1"/>
      <c r="D52" s="1"/>
      <c r="E52" s="11"/>
      <c r="F52" s="11">
        <f>'cbs(w)'!B61+'cbs(w)'!B62+'cbs(w)'!B60</f>
        <v>0</v>
      </c>
      <c r="G52" s="11"/>
      <c r="H52" s="11">
        <v>0</v>
      </c>
      <c r="I52" s="11"/>
      <c r="J52" s="22"/>
      <c r="K52" s="22"/>
      <c r="L52" s="22"/>
      <c r="M52" s="1"/>
    </row>
    <row r="53" spans="1:13" ht="12.75">
      <c r="A53" s="1"/>
      <c r="B53" s="20" t="s">
        <v>494</v>
      </c>
      <c r="C53" s="1"/>
      <c r="D53" s="1"/>
      <c r="E53" s="11"/>
      <c r="F53" s="65">
        <f>'cbs(w)'!B63</f>
        <v>8681</v>
      </c>
      <c r="G53" s="11"/>
      <c r="H53" s="65">
        <v>7680</v>
      </c>
      <c r="I53" s="11"/>
      <c r="J53" s="22"/>
      <c r="K53" s="22"/>
      <c r="L53" s="22"/>
      <c r="M53" s="1"/>
    </row>
    <row r="54" spans="1:13" ht="12.75">
      <c r="A54" s="1"/>
      <c r="B54" s="20"/>
      <c r="C54" s="1"/>
      <c r="D54" s="1"/>
      <c r="E54" s="11"/>
      <c r="F54" s="11">
        <f>SUM(F49:F53)</f>
        <v>269178</v>
      </c>
      <c r="G54" s="11"/>
      <c r="H54" s="11">
        <f>SUM(H49:H53)</f>
        <v>268177</v>
      </c>
      <c r="I54" s="11"/>
      <c r="J54" s="22"/>
      <c r="K54" s="22"/>
      <c r="L54" s="22"/>
      <c r="M54" s="1"/>
    </row>
    <row r="55" spans="1:13" ht="12.75">
      <c r="A55" s="1" t="s">
        <v>490</v>
      </c>
      <c r="B55" s="1"/>
      <c r="C55" s="1"/>
      <c r="D55" s="1"/>
      <c r="E55" s="11"/>
      <c r="F55" s="11">
        <f>'cbs(w)'!B50</f>
        <v>0</v>
      </c>
      <c r="G55" s="11"/>
      <c r="H55" s="11">
        <v>0</v>
      </c>
      <c r="I55" s="11"/>
      <c r="J55" s="22"/>
      <c r="K55" s="22"/>
      <c r="L55" s="22"/>
      <c r="M55" s="1"/>
    </row>
    <row r="56" spans="1:13" ht="12.75">
      <c r="A56" s="1" t="s">
        <v>491</v>
      </c>
      <c r="B56" s="1"/>
      <c r="C56" s="1"/>
      <c r="D56" s="1"/>
      <c r="E56" s="11"/>
      <c r="F56" s="11">
        <f>'cbs(w)'!B46</f>
        <v>0</v>
      </c>
      <c r="G56" s="11"/>
      <c r="H56" s="11">
        <v>0</v>
      </c>
      <c r="I56" s="11"/>
      <c r="J56" s="22"/>
      <c r="K56" s="22"/>
      <c r="L56" s="22"/>
      <c r="M56" s="1"/>
    </row>
    <row r="57" spans="1:13" ht="12.75">
      <c r="A57" s="1"/>
      <c r="B57" s="1"/>
      <c r="C57" s="1"/>
      <c r="D57" s="1"/>
      <c r="E57" s="11"/>
      <c r="F57" s="11"/>
      <c r="G57" s="11"/>
      <c r="H57" s="11"/>
      <c r="I57" s="11"/>
      <c r="J57" s="22"/>
      <c r="K57" s="22"/>
      <c r="L57" s="22"/>
      <c r="M57" s="1"/>
    </row>
    <row r="58" spans="1:13" ht="12.75">
      <c r="A58" s="1" t="s">
        <v>568</v>
      </c>
      <c r="B58" s="1"/>
      <c r="C58" s="1"/>
      <c r="D58" s="1"/>
      <c r="E58" s="11"/>
      <c r="F58" s="11">
        <f>-'cbs(w)'!B48</f>
        <v>34</v>
      </c>
      <c r="G58" s="11"/>
      <c r="H58" s="11">
        <v>36</v>
      </c>
      <c r="I58" s="11"/>
      <c r="J58" s="22"/>
      <c r="K58" s="22"/>
      <c r="L58" s="22"/>
      <c r="M58" s="1"/>
    </row>
    <row r="59" spans="1:13" ht="12.75">
      <c r="A59" s="1" t="s">
        <v>1056</v>
      </c>
      <c r="B59" s="20"/>
      <c r="C59" s="1"/>
      <c r="D59" s="1"/>
      <c r="E59" s="11"/>
      <c r="F59" s="11">
        <f>'cbs(w)'!B42</f>
        <v>0</v>
      </c>
      <c r="G59" s="11"/>
      <c r="H59" s="11">
        <v>0</v>
      </c>
      <c r="I59" s="11"/>
      <c r="J59" s="22"/>
      <c r="K59" s="22"/>
      <c r="L59" s="22"/>
      <c r="M59" s="1"/>
    </row>
    <row r="60" spans="1:13" ht="13.5" thickBot="1">
      <c r="A60" s="1"/>
      <c r="B60" s="20"/>
      <c r="C60" s="1"/>
      <c r="D60" s="1"/>
      <c r="E60" s="11"/>
      <c r="F60" s="25">
        <f>SUM(F54:F59)</f>
        <v>269212</v>
      </c>
      <c r="G60" s="11"/>
      <c r="H60" s="25">
        <f>SUM(H54:H59)</f>
        <v>268213</v>
      </c>
      <c r="I60" s="11"/>
      <c r="J60" s="22"/>
      <c r="K60" s="22"/>
      <c r="L60" s="22"/>
      <c r="M60" s="1"/>
    </row>
    <row r="61" spans="1:13" ht="12.75">
      <c r="A61" s="1"/>
      <c r="B61" s="20"/>
      <c r="C61" s="1"/>
      <c r="D61" s="1"/>
      <c r="E61" s="11"/>
      <c r="F61" s="11"/>
      <c r="G61" s="11"/>
      <c r="H61" s="11"/>
      <c r="I61" s="11"/>
      <c r="J61" s="22"/>
      <c r="K61" s="22"/>
      <c r="L61" s="22"/>
      <c r="M61" s="1"/>
    </row>
    <row r="62" spans="1:13" ht="12.75">
      <c r="A62" s="1" t="s">
        <v>492</v>
      </c>
      <c r="B62" s="1"/>
      <c r="C62" s="1"/>
      <c r="D62" s="1"/>
      <c r="E62" s="11"/>
      <c r="F62" s="11">
        <f>(F54-F25)/F49*100</f>
        <v>384.54</v>
      </c>
      <c r="G62" s="11"/>
      <c r="H62" s="11">
        <f>(H54-H25)/H49*100</f>
        <v>383.11</v>
      </c>
      <c r="I62" s="11"/>
      <c r="J62" s="22"/>
      <c r="K62" s="22"/>
      <c r="L62" s="22"/>
      <c r="M62" s="1"/>
    </row>
    <row r="63" spans="1:13" ht="12.75">
      <c r="A63" s="1"/>
      <c r="B63" s="1"/>
      <c r="C63" s="1"/>
      <c r="D63" s="1"/>
      <c r="E63" s="1"/>
      <c r="F63" s="11"/>
      <c r="G63" s="11"/>
      <c r="H63" s="11"/>
      <c r="I63" s="11"/>
      <c r="J63" s="22"/>
      <c r="K63" s="22"/>
      <c r="L63" s="22"/>
      <c r="M63" s="1"/>
    </row>
  </sheetData>
  <mergeCells count="2">
    <mergeCell ref="F6:H6"/>
    <mergeCell ref="J6:L6"/>
  </mergeCells>
  <printOptions horizontalCentered="1"/>
  <pageMargins left="0.75" right="0.75" top="1" bottom="1" header="0.5" footer="0.5"/>
  <pageSetup horizontalDpi="360" verticalDpi="360"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50"/>
  <sheetViews>
    <sheetView zoomScale="75" zoomScaleNormal="75" workbookViewId="0" topLeftCell="A8">
      <pane xSplit="4" topLeftCell="E1" activePane="topRight" state="frozen"/>
      <selection pane="topLeft" activeCell="A1" sqref="A1"/>
      <selection pane="topRight" activeCell="F22" sqref="F22"/>
    </sheetView>
  </sheetViews>
  <sheetFormatPr defaultColWidth="9.140625" defaultRowHeight="12.75"/>
  <cols>
    <col min="1" max="1" width="2.57421875" style="0" customWidth="1"/>
    <col min="4" max="4" width="12.140625" style="0" customWidth="1"/>
    <col min="6" max="6" width="10.140625" style="0" customWidth="1"/>
    <col min="7" max="7" width="10.421875" style="0" customWidth="1"/>
    <col min="8" max="8" width="10.421875" style="0" bestFit="1" customWidth="1"/>
    <col min="11" max="11" width="10.28125" style="0" customWidth="1"/>
    <col min="12" max="12" width="10.00390625" style="0" customWidth="1"/>
    <col min="15" max="15" width="10.140625" style="0" customWidth="1"/>
  </cols>
  <sheetData>
    <row r="1" spans="2:15" s="1" customFormat="1" ht="11.25">
      <c r="B1" s="5" t="s">
        <v>656</v>
      </c>
      <c r="O1" s="7"/>
    </row>
    <row r="2" s="1" customFormat="1" ht="11.25">
      <c r="B2" s="5" t="s">
        <v>657</v>
      </c>
    </row>
    <row r="3" s="1" customFormat="1" ht="11.25">
      <c r="B3" s="5" t="s">
        <v>607</v>
      </c>
    </row>
    <row r="4" s="1" customFormat="1" ht="12" thickBot="1">
      <c r="B4" s="1" t="s">
        <v>408</v>
      </c>
    </row>
    <row r="5" spans="2:15" s="1" customFormat="1" ht="11.25">
      <c r="B5" s="119"/>
      <c r="C5" s="120"/>
      <c r="D5" s="120"/>
      <c r="E5" s="612" t="s">
        <v>608</v>
      </c>
      <c r="F5" s="613"/>
      <c r="G5" s="613"/>
      <c r="H5" s="614"/>
      <c r="I5" s="122"/>
      <c r="J5" s="121" t="s">
        <v>658</v>
      </c>
      <c r="K5" s="612" t="s">
        <v>659</v>
      </c>
      <c r="L5" s="614"/>
      <c r="M5" s="612" t="s">
        <v>660</v>
      </c>
      <c r="N5" s="613"/>
      <c r="O5" s="615"/>
    </row>
    <row r="6" spans="2:15" s="1" customFormat="1" ht="12.75" customHeight="1">
      <c r="B6" s="123"/>
      <c r="C6" s="23"/>
      <c r="D6" s="23"/>
      <c r="E6" s="616" t="s">
        <v>609</v>
      </c>
      <c r="F6" s="617"/>
      <c r="G6" s="617"/>
      <c r="H6" s="618"/>
      <c r="I6" s="40"/>
      <c r="J6" s="124">
        <v>2002</v>
      </c>
      <c r="K6" s="616" t="s">
        <v>379</v>
      </c>
      <c r="L6" s="618"/>
      <c r="M6" s="126"/>
      <c r="N6" s="127"/>
      <c r="O6" s="128"/>
    </row>
    <row r="7" spans="2:15" s="1" customFormat="1" ht="11.25">
      <c r="B7" s="123"/>
      <c r="C7" s="23"/>
      <c r="D7" s="23"/>
      <c r="E7" s="619"/>
      <c r="F7" s="620"/>
      <c r="G7" s="620"/>
      <c r="H7" s="621"/>
      <c r="I7" s="40"/>
      <c r="J7" s="129"/>
      <c r="K7" s="610"/>
      <c r="L7" s="611"/>
      <c r="M7" s="622"/>
      <c r="N7" s="623"/>
      <c r="O7" s="624"/>
    </row>
    <row r="8" spans="2:15" s="1" customFormat="1" ht="11.25">
      <c r="B8" s="123"/>
      <c r="C8" s="23"/>
      <c r="D8" s="23"/>
      <c r="E8" s="130" t="s">
        <v>661</v>
      </c>
      <c r="F8" s="130" t="s">
        <v>662</v>
      </c>
      <c r="G8" s="130" t="s">
        <v>663</v>
      </c>
      <c r="H8" s="130" t="s">
        <v>751</v>
      </c>
      <c r="I8" s="40"/>
      <c r="J8" s="131"/>
      <c r="K8" s="40"/>
      <c r="L8" s="132" t="s">
        <v>664</v>
      </c>
      <c r="M8" s="622"/>
      <c r="N8" s="623"/>
      <c r="O8" s="624"/>
    </row>
    <row r="9" spans="2:15" s="1" customFormat="1" ht="11.25">
      <c r="B9" s="123"/>
      <c r="C9" s="23"/>
      <c r="D9" s="23"/>
      <c r="E9" s="133" t="s">
        <v>665</v>
      </c>
      <c r="F9" s="133" t="s">
        <v>666</v>
      </c>
      <c r="G9" s="133" t="s">
        <v>667</v>
      </c>
      <c r="H9" s="133" t="s">
        <v>959</v>
      </c>
      <c r="I9" s="40"/>
      <c r="J9" s="125" t="s">
        <v>668</v>
      </c>
      <c r="K9" s="36" t="s">
        <v>671</v>
      </c>
      <c r="L9" s="134" t="s">
        <v>672</v>
      </c>
      <c r="M9" s="134"/>
      <c r="N9" s="135"/>
      <c r="O9" s="136"/>
    </row>
    <row r="10" spans="2:15" s="1" customFormat="1" ht="11.25">
      <c r="B10" s="123"/>
      <c r="C10" s="23"/>
      <c r="D10" s="23"/>
      <c r="E10" s="33"/>
      <c r="F10" s="33"/>
      <c r="G10" s="33"/>
      <c r="H10" s="33"/>
      <c r="I10" s="40"/>
      <c r="J10" s="33"/>
      <c r="K10" s="33"/>
      <c r="L10" s="33"/>
      <c r="M10" s="104"/>
      <c r="N10" s="137"/>
      <c r="O10" s="138"/>
    </row>
    <row r="11" spans="2:15" s="1" customFormat="1" ht="12" thickBot="1">
      <c r="B11" s="123" t="s">
        <v>752</v>
      </c>
      <c r="C11" s="23"/>
      <c r="D11" s="23"/>
      <c r="E11" s="54">
        <f>'cpl-2date'!O10</f>
        <v>73834</v>
      </c>
      <c r="F11" s="54">
        <f>'cpl-qtr(b)'!O8</f>
        <v>103158</v>
      </c>
      <c r="G11" s="51">
        <f>E11-F11</f>
        <v>-29324</v>
      </c>
      <c r="H11" s="330">
        <f>E11/F11*100</f>
        <v>71.5737024758138</v>
      </c>
      <c r="I11" s="40"/>
      <c r="J11" s="54">
        <v>274744</v>
      </c>
      <c r="K11" s="51">
        <f>J11-E11</f>
        <v>200910</v>
      </c>
      <c r="L11" s="56">
        <f>K11/J11*100</f>
        <v>73.1262557144105</v>
      </c>
      <c r="M11" s="132" t="s">
        <v>1002</v>
      </c>
      <c r="N11" s="23"/>
      <c r="O11" s="139"/>
    </row>
    <row r="12" spans="2:15" s="1" customFormat="1" ht="11.25">
      <c r="B12" s="123"/>
      <c r="C12" s="23"/>
      <c r="D12" s="23"/>
      <c r="E12" s="51"/>
      <c r="F12" s="51"/>
      <c r="G12" s="51"/>
      <c r="H12" s="40"/>
      <c r="I12" s="40"/>
      <c r="J12" s="51"/>
      <c r="K12" s="51"/>
      <c r="L12" s="51"/>
      <c r="M12" s="132" t="s">
        <v>697</v>
      </c>
      <c r="N12" s="23"/>
      <c r="O12" s="139"/>
    </row>
    <row r="13" spans="2:15" s="1" customFormat="1" ht="12" thickBot="1">
      <c r="B13" s="123" t="s">
        <v>673</v>
      </c>
      <c r="C13" s="23"/>
      <c r="D13" s="23"/>
      <c r="E13" s="54">
        <f>'cpl-2date'!O14</f>
        <v>811</v>
      </c>
      <c r="F13" s="54">
        <f>'cpl-qtr(b)'!O12</f>
        <v>556</v>
      </c>
      <c r="G13" s="51">
        <f>E13-F13</f>
        <v>255</v>
      </c>
      <c r="H13" s="56">
        <f>E13/F13*100</f>
        <v>145.863309352518</v>
      </c>
      <c r="I13" s="40"/>
      <c r="J13" s="54">
        <v>858</v>
      </c>
      <c r="K13" s="51">
        <f>J13-E13</f>
        <v>47</v>
      </c>
      <c r="L13" s="56">
        <f>K13/J13*100</f>
        <v>5.477855477855478</v>
      </c>
      <c r="M13" s="132" t="s">
        <v>698</v>
      </c>
      <c r="N13" s="23"/>
      <c r="O13" s="139"/>
    </row>
    <row r="14" spans="2:15" s="1" customFormat="1" ht="11.25">
      <c r="B14" s="123"/>
      <c r="C14" s="23"/>
      <c r="D14" s="23"/>
      <c r="E14" s="51"/>
      <c r="F14" s="51"/>
      <c r="G14" s="51"/>
      <c r="H14" s="40"/>
      <c r="I14" s="40"/>
      <c r="J14" s="51"/>
      <c r="K14" s="51"/>
      <c r="L14" s="51"/>
      <c r="M14" s="132" t="s">
        <v>699</v>
      </c>
      <c r="N14" s="23"/>
      <c r="O14" s="139"/>
    </row>
    <row r="15" spans="2:15" s="1" customFormat="1" ht="11.25">
      <c r="B15" s="123" t="s">
        <v>711</v>
      </c>
      <c r="C15" s="23"/>
      <c r="D15" s="23"/>
      <c r="E15" s="51">
        <f>'cpl-2date'!O19</f>
        <v>13795</v>
      </c>
      <c r="F15" s="51">
        <f>'cpl-qtr(b)'!O14</f>
        <v>18337</v>
      </c>
      <c r="G15" s="51">
        <f>E15-F15</f>
        <v>-4542</v>
      </c>
      <c r="H15" s="56">
        <f>E15/F15*100</f>
        <v>75.23040846376179</v>
      </c>
      <c r="I15" s="40"/>
      <c r="J15" s="51">
        <v>44984</v>
      </c>
      <c r="K15" s="51">
        <f>J15-E15</f>
        <v>31189</v>
      </c>
      <c r="L15" s="56">
        <f>K15/J15*100</f>
        <v>69.33354081451184</v>
      </c>
      <c r="M15" s="132" t="s">
        <v>700</v>
      </c>
      <c r="N15" s="23"/>
      <c r="O15" s="139"/>
    </row>
    <row r="16" spans="2:15" s="1" customFormat="1" ht="11.25">
      <c r="B16" s="123"/>
      <c r="C16" s="23"/>
      <c r="D16" s="23"/>
      <c r="E16" s="51"/>
      <c r="F16" s="51"/>
      <c r="G16" s="51"/>
      <c r="H16" s="56"/>
      <c r="I16" s="40"/>
      <c r="J16" s="51"/>
      <c r="K16" s="51"/>
      <c r="L16" s="56"/>
      <c r="M16" s="132"/>
      <c r="N16" s="23"/>
      <c r="O16" s="139"/>
    </row>
    <row r="17" spans="2:15" s="1" customFormat="1" ht="11.25">
      <c r="B17" s="123" t="s">
        <v>1080</v>
      </c>
      <c r="C17" s="23"/>
      <c r="D17" s="23"/>
      <c r="E17" s="51">
        <f>'cpl-2date'!O22</f>
        <v>2040</v>
      </c>
      <c r="F17" s="51">
        <f>'cpl-qtr(b)'!O16</f>
        <v>4210</v>
      </c>
      <c r="G17" s="51">
        <f>E17-F17</f>
        <v>-2170</v>
      </c>
      <c r="H17" s="56">
        <f>E17/F17*100</f>
        <v>48.45605700712589</v>
      </c>
      <c r="I17" s="40"/>
      <c r="J17" s="51">
        <v>2396</v>
      </c>
      <c r="K17" s="51">
        <f>J17-E17</f>
        <v>356</v>
      </c>
      <c r="L17" s="56">
        <f>K17/J17*100</f>
        <v>14.858096828046744</v>
      </c>
      <c r="M17" s="132"/>
      <c r="N17" s="23"/>
      <c r="O17" s="139"/>
    </row>
    <row r="18" spans="2:15" s="1" customFormat="1" ht="11.25">
      <c r="B18" s="123"/>
      <c r="C18" s="23"/>
      <c r="D18" s="23"/>
      <c r="E18" s="51"/>
      <c r="F18" s="51"/>
      <c r="G18" s="51"/>
      <c r="H18" s="56"/>
      <c r="I18" s="40"/>
      <c r="J18" s="51"/>
      <c r="K18" s="51"/>
      <c r="L18" s="56"/>
      <c r="M18" s="132"/>
      <c r="N18" s="23"/>
      <c r="O18" s="139"/>
    </row>
    <row r="19" spans="2:15" s="1" customFormat="1" ht="11.25">
      <c r="B19" s="123" t="s">
        <v>1082</v>
      </c>
      <c r="C19" s="23"/>
      <c r="D19" s="23"/>
      <c r="E19" s="51">
        <f>'cpl-2date'!O24</f>
        <v>3744</v>
      </c>
      <c r="F19" s="51">
        <f>'cpl-qtr(b)'!O18</f>
        <v>3995</v>
      </c>
      <c r="G19" s="51">
        <f>E19-F19</f>
        <v>-251</v>
      </c>
      <c r="H19" s="56">
        <f>E19/F19*100</f>
        <v>93.7171464330413</v>
      </c>
      <c r="I19" s="40"/>
      <c r="J19" s="51">
        <v>8273</v>
      </c>
      <c r="K19" s="51">
        <f>J19-E19</f>
        <v>4529</v>
      </c>
      <c r="L19" s="56">
        <f>K19/J19*100</f>
        <v>54.74434908739272</v>
      </c>
      <c r="M19" s="132" t="s">
        <v>1032</v>
      </c>
      <c r="N19" s="23"/>
      <c r="O19" s="139"/>
    </row>
    <row r="20" spans="2:15" s="1" customFormat="1" ht="11.25">
      <c r="B20" s="123"/>
      <c r="C20" s="23"/>
      <c r="D20" s="23"/>
      <c r="E20" s="59"/>
      <c r="F20" s="59"/>
      <c r="G20" s="51"/>
      <c r="H20" s="56"/>
      <c r="I20" s="40"/>
      <c r="J20" s="59"/>
      <c r="K20" s="51"/>
      <c r="L20" s="56"/>
      <c r="M20" s="132" t="s">
        <v>701</v>
      </c>
      <c r="N20" s="23"/>
      <c r="O20" s="139"/>
    </row>
    <row r="21" spans="2:15" s="1" customFormat="1" ht="11.25">
      <c r="B21" s="123" t="s">
        <v>712</v>
      </c>
      <c r="C21" s="23"/>
      <c r="D21" s="23"/>
      <c r="E21" s="51">
        <f>E15-E17-E19</f>
        <v>8011</v>
      </c>
      <c r="F21" s="51">
        <f>F15-F17-F19</f>
        <v>10132</v>
      </c>
      <c r="G21" s="51">
        <f>E21-F21</f>
        <v>-2121</v>
      </c>
      <c r="H21" s="56">
        <f>E21/F21*100</f>
        <v>79.06632451638373</v>
      </c>
      <c r="I21" s="40"/>
      <c r="J21" s="51">
        <f>J15-J17-J19</f>
        <v>34315</v>
      </c>
      <c r="K21" s="51">
        <f>J21-E21</f>
        <v>26304</v>
      </c>
      <c r="L21" s="56">
        <f>K21/J21*100</f>
        <v>76.65452426052747</v>
      </c>
      <c r="M21" s="132" t="s">
        <v>702</v>
      </c>
      <c r="N21" s="23"/>
      <c r="O21" s="139"/>
    </row>
    <row r="22" spans="2:15" s="1" customFormat="1" ht="11.25">
      <c r="B22" s="123"/>
      <c r="C22" s="23"/>
      <c r="D22" s="23"/>
      <c r="E22" s="51"/>
      <c r="F22" s="51"/>
      <c r="G22" s="51"/>
      <c r="H22" s="56"/>
      <c r="I22" s="40"/>
      <c r="J22" s="51"/>
      <c r="K22" s="51"/>
      <c r="L22" s="56"/>
      <c r="M22" s="132" t="s">
        <v>704</v>
      </c>
      <c r="N22" s="23"/>
      <c r="O22" s="139"/>
    </row>
    <row r="23" spans="2:15" s="1" customFormat="1" ht="11.25">
      <c r="B23" s="123" t="s">
        <v>924</v>
      </c>
      <c r="C23" s="23"/>
      <c r="D23" s="23"/>
      <c r="E23" s="59">
        <f>'cpl-2date'!O30</f>
        <v>84</v>
      </c>
      <c r="F23" s="59">
        <f>'cpl-qtr(b)'!O20</f>
        <v>0</v>
      </c>
      <c r="G23" s="51">
        <f>E23-F23</f>
        <v>84</v>
      </c>
      <c r="H23" s="56">
        <v>0</v>
      </c>
      <c r="I23" s="40"/>
      <c r="J23" s="59">
        <v>250</v>
      </c>
      <c r="K23" s="51">
        <v>0</v>
      </c>
      <c r="L23" s="56"/>
      <c r="M23" s="132" t="s">
        <v>705</v>
      </c>
      <c r="N23" s="23"/>
      <c r="O23" s="139"/>
    </row>
    <row r="24" spans="2:15" s="1" customFormat="1" ht="11.25">
      <c r="B24" s="123"/>
      <c r="C24" s="23"/>
      <c r="D24" s="23"/>
      <c r="E24" s="51">
        <f>E21-E23</f>
        <v>7927</v>
      </c>
      <c r="F24" s="51">
        <f>F21-F23</f>
        <v>10132</v>
      </c>
      <c r="G24" s="51">
        <f>E24-F24</f>
        <v>-2205</v>
      </c>
      <c r="H24" s="330">
        <f>E24/F24*100</f>
        <v>78.23726806158705</v>
      </c>
      <c r="I24" s="40"/>
      <c r="J24" s="51">
        <f>J21-J23</f>
        <v>34065</v>
      </c>
      <c r="K24" s="51">
        <f>J24-E24</f>
        <v>26138</v>
      </c>
      <c r="L24" s="56"/>
      <c r="M24" s="132"/>
      <c r="N24" s="23"/>
      <c r="O24" s="139"/>
    </row>
    <row r="25" spans="2:15" s="1" customFormat="1" ht="11.25">
      <c r="B25" s="123" t="s">
        <v>879</v>
      </c>
      <c r="C25" s="23"/>
      <c r="D25" s="23"/>
      <c r="E25" s="51">
        <f>'cpl-qtr1'!R31</f>
        <v>0</v>
      </c>
      <c r="F25" s="51">
        <f>'cpl-qtr(b)'!O24</f>
        <v>0</v>
      </c>
      <c r="G25" s="50">
        <f>E25-F25</f>
        <v>0</v>
      </c>
      <c r="H25" s="330"/>
      <c r="I25" s="40"/>
      <c r="J25" s="51">
        <f>F25</f>
        <v>0</v>
      </c>
      <c r="K25" s="50">
        <f>J25-E25</f>
        <v>0</v>
      </c>
      <c r="L25" s="56"/>
      <c r="M25" s="132"/>
      <c r="N25" s="23"/>
      <c r="O25" s="139"/>
    </row>
    <row r="26" spans="2:15" s="1" customFormat="1" ht="11.25">
      <c r="B26" s="123" t="s">
        <v>971</v>
      </c>
      <c r="C26" s="23"/>
      <c r="D26" s="23"/>
      <c r="E26" s="59">
        <v>0</v>
      </c>
      <c r="F26" s="59">
        <f>'cpl-12m(b)'!O25</f>
        <v>0</v>
      </c>
      <c r="G26" s="51"/>
      <c r="H26" s="330"/>
      <c r="I26" s="40"/>
      <c r="J26" s="59">
        <f>F26</f>
        <v>0</v>
      </c>
      <c r="K26" s="51"/>
      <c r="L26" s="56"/>
      <c r="M26" s="132"/>
      <c r="N26" s="23"/>
      <c r="O26" s="139"/>
    </row>
    <row r="27" spans="2:15" s="1" customFormat="1" ht="11.25">
      <c r="B27" s="123"/>
      <c r="C27" s="23"/>
      <c r="D27" s="23"/>
      <c r="E27" s="51">
        <f>SUM(E24:E26)</f>
        <v>7927</v>
      </c>
      <c r="F27" s="51">
        <f>SUM(F24:F26)</f>
        <v>10132</v>
      </c>
      <c r="G27" s="51"/>
      <c r="H27" s="56"/>
      <c r="I27" s="40"/>
      <c r="J27" s="51">
        <f>SUM(J24:J26)</f>
        <v>34065</v>
      </c>
      <c r="K27" s="51"/>
      <c r="L27" s="56"/>
      <c r="M27" s="132"/>
      <c r="N27" s="23"/>
      <c r="O27" s="139"/>
    </row>
    <row r="28" spans="2:15" s="1" customFormat="1" ht="11.25">
      <c r="B28" s="123" t="s">
        <v>7</v>
      </c>
      <c r="C28" s="23"/>
      <c r="D28" s="23"/>
      <c r="E28" s="118">
        <f>'cpl-2date'!O35</f>
        <v>2980</v>
      </c>
      <c r="F28" s="118">
        <f>'cpl-qtr(b)'!O28</f>
        <v>4363</v>
      </c>
      <c r="G28" s="51">
        <f>E28-F28</f>
        <v>-1383</v>
      </c>
      <c r="H28" s="56">
        <f>E28/F28*100</f>
        <v>68.30162732065092</v>
      </c>
      <c r="I28" s="40"/>
      <c r="J28" s="118">
        <v>14092</v>
      </c>
      <c r="K28" s="51">
        <f>J28-E28</f>
        <v>11112</v>
      </c>
      <c r="L28" s="56">
        <v>0</v>
      </c>
      <c r="M28" s="132"/>
      <c r="N28" s="23"/>
      <c r="O28" s="139"/>
    </row>
    <row r="29" spans="2:15" s="1" customFormat="1" ht="11.25">
      <c r="B29" s="123"/>
      <c r="C29" s="23"/>
      <c r="D29" s="23"/>
      <c r="E29" s="59"/>
      <c r="F29" s="59"/>
      <c r="G29" s="51"/>
      <c r="H29" s="40"/>
      <c r="I29" s="40"/>
      <c r="J29" s="51"/>
      <c r="K29" s="51"/>
      <c r="L29" s="51"/>
      <c r="M29" s="132"/>
      <c r="N29" s="23"/>
      <c r="O29" s="139"/>
    </row>
    <row r="30" spans="2:15" s="1" customFormat="1" ht="11.25">
      <c r="B30" s="123" t="s">
        <v>713</v>
      </c>
      <c r="C30" s="23"/>
      <c r="D30" s="23"/>
      <c r="E30" s="51">
        <f>E27-E28</f>
        <v>4947</v>
      </c>
      <c r="F30" s="51">
        <f>F27-F28</f>
        <v>5769</v>
      </c>
      <c r="G30" s="51">
        <f>E30-F30</f>
        <v>-822</v>
      </c>
      <c r="H30" s="56">
        <f>E30/F30*100</f>
        <v>85.7514300572023</v>
      </c>
      <c r="I30" s="40"/>
      <c r="J30" s="51">
        <f>J27-J28</f>
        <v>19973</v>
      </c>
      <c r="K30" s="51">
        <f>J30-E30</f>
        <v>15026</v>
      </c>
      <c r="L30" s="56">
        <f>K30/J30*100</f>
        <v>75.23156260952285</v>
      </c>
      <c r="M30" s="132"/>
      <c r="N30" s="23"/>
      <c r="O30" s="139"/>
    </row>
    <row r="31" spans="2:15" s="1" customFormat="1" ht="11.25">
      <c r="B31" s="123"/>
      <c r="C31" s="23"/>
      <c r="D31" s="23"/>
      <c r="E31" s="51"/>
      <c r="F31" s="51"/>
      <c r="G31" s="51"/>
      <c r="H31" s="40"/>
      <c r="I31" s="40"/>
      <c r="J31" s="51"/>
      <c r="K31" s="51"/>
      <c r="L31" s="51"/>
      <c r="M31" s="132"/>
      <c r="N31" s="23"/>
      <c r="O31" s="139"/>
    </row>
    <row r="32" spans="2:15" s="1" customFormat="1" ht="11.25">
      <c r="B32" s="123" t="s">
        <v>714</v>
      </c>
      <c r="C32" s="23"/>
      <c r="D32" s="23"/>
      <c r="E32" s="118">
        <f>'cpl-2date'!O40</f>
        <v>-1628</v>
      </c>
      <c r="F32" s="118">
        <f>'cpl-qtr(b)'!O33</f>
        <v>-1495.0488</v>
      </c>
      <c r="G32" s="51">
        <f>E32-F32</f>
        <v>-132.95119999999997</v>
      </c>
      <c r="H32" s="56">
        <v>0</v>
      </c>
      <c r="I32" s="40"/>
      <c r="J32" s="118">
        <v>-2684</v>
      </c>
      <c r="K32" s="51">
        <f>J32-E32</f>
        <v>-1056</v>
      </c>
      <c r="L32" s="56">
        <v>0</v>
      </c>
      <c r="M32" s="132"/>
      <c r="N32" s="23"/>
      <c r="O32" s="139"/>
    </row>
    <row r="33" spans="2:15" s="1" customFormat="1" ht="11.25">
      <c r="B33" s="123"/>
      <c r="C33" s="23"/>
      <c r="D33" s="23"/>
      <c r="E33" s="59"/>
      <c r="F33" s="140"/>
      <c r="G33" s="51"/>
      <c r="H33" s="114"/>
      <c r="I33" s="40"/>
      <c r="J33" s="51"/>
      <c r="K33" s="51"/>
      <c r="L33" s="51"/>
      <c r="M33" s="132"/>
      <c r="N33" s="23"/>
      <c r="O33" s="139"/>
    </row>
    <row r="34" spans="2:15" s="1" customFormat="1" ht="11.25">
      <c r="B34" s="123" t="s">
        <v>715</v>
      </c>
      <c r="C34" s="23"/>
      <c r="D34" s="23"/>
      <c r="E34" s="51">
        <f>E30+E32</f>
        <v>3319</v>
      </c>
      <c r="F34" s="51">
        <f>F30+F32</f>
        <v>4273.9511999999995</v>
      </c>
      <c r="G34" s="51">
        <f>E34-F34</f>
        <v>-954.9511999999995</v>
      </c>
      <c r="H34" s="330">
        <f>E34/F34*100</f>
        <v>77.65647862334039</v>
      </c>
      <c r="I34" s="40"/>
      <c r="J34" s="51">
        <f>J30+J32</f>
        <v>17289</v>
      </c>
      <c r="K34" s="51">
        <f>J34-E34</f>
        <v>13970</v>
      </c>
      <c r="L34" s="56">
        <f>K34/J34*100</f>
        <v>80.80282260396784</v>
      </c>
      <c r="M34" s="132"/>
      <c r="N34" s="23"/>
      <c r="O34" s="139"/>
    </row>
    <row r="35" spans="2:15" s="1" customFormat="1" ht="11.25">
      <c r="B35" s="123"/>
      <c r="C35" s="23"/>
      <c r="D35" s="23"/>
      <c r="E35" s="51"/>
      <c r="F35" s="51"/>
      <c r="G35" s="51"/>
      <c r="H35" s="40"/>
      <c r="I35" s="40"/>
      <c r="J35" s="51"/>
      <c r="K35" s="51"/>
      <c r="L35" s="51"/>
      <c r="M35" s="132"/>
      <c r="N35" s="23"/>
      <c r="O35" s="139"/>
    </row>
    <row r="36" spans="2:15" s="1" customFormat="1" ht="11.25">
      <c r="B36" s="123" t="s">
        <v>71</v>
      </c>
      <c r="C36" s="23"/>
      <c r="D36" s="23"/>
      <c r="E36" s="51">
        <v>0</v>
      </c>
      <c r="F36" s="51">
        <v>0</v>
      </c>
      <c r="G36" s="51">
        <v>0</v>
      </c>
      <c r="H36" s="56">
        <v>0</v>
      </c>
      <c r="I36" s="40"/>
      <c r="J36" s="51">
        <v>0</v>
      </c>
      <c r="K36" s="51">
        <v>0</v>
      </c>
      <c r="L36" s="51">
        <v>0</v>
      </c>
      <c r="M36" s="132"/>
      <c r="N36" s="23"/>
      <c r="O36" s="139"/>
    </row>
    <row r="37" spans="2:15" s="1" customFormat="1" ht="11.25">
      <c r="B37" s="123"/>
      <c r="C37" s="23"/>
      <c r="D37" s="23"/>
      <c r="E37" s="59"/>
      <c r="F37" s="59"/>
      <c r="G37" s="51"/>
      <c r="H37" s="40"/>
      <c r="I37" s="40"/>
      <c r="J37" s="51"/>
      <c r="K37" s="51"/>
      <c r="L37" s="51"/>
      <c r="M37" s="132"/>
      <c r="N37" s="23"/>
      <c r="O37" s="139"/>
    </row>
    <row r="38" spans="2:15" s="1" customFormat="1" ht="11.25">
      <c r="B38" s="123" t="s">
        <v>716</v>
      </c>
      <c r="C38" s="23"/>
      <c r="D38" s="23"/>
      <c r="E38" s="51">
        <f>E34-E36</f>
        <v>3319</v>
      </c>
      <c r="F38" s="51">
        <f>F34-F36</f>
        <v>4273.9511999999995</v>
      </c>
      <c r="G38" s="51">
        <f>G34-G36</f>
        <v>-954.9511999999995</v>
      </c>
      <c r="H38" s="56">
        <f>H34-H36</f>
        <v>77.65647862334039</v>
      </c>
      <c r="I38" s="40"/>
      <c r="J38" s="51">
        <f>J34-J36</f>
        <v>17289</v>
      </c>
      <c r="K38" s="51">
        <f>J38-E38</f>
        <v>13970</v>
      </c>
      <c r="L38" s="56">
        <f>K38/J38*100</f>
        <v>80.80282260396784</v>
      </c>
      <c r="M38" s="132" t="s">
        <v>164</v>
      </c>
      <c r="N38" s="23"/>
      <c r="O38" s="139"/>
    </row>
    <row r="39" spans="2:15" s="1" customFormat="1" ht="11.25">
      <c r="B39" s="123" t="s">
        <v>717</v>
      </c>
      <c r="C39" s="23"/>
      <c r="D39" s="23"/>
      <c r="E39" s="51"/>
      <c r="F39" s="51"/>
      <c r="G39" s="51"/>
      <c r="H39" s="40"/>
      <c r="I39" s="40"/>
      <c r="J39" s="51"/>
      <c r="K39" s="51"/>
      <c r="L39" s="51"/>
      <c r="M39" s="132" t="s">
        <v>163</v>
      </c>
      <c r="N39" s="23"/>
      <c r="O39" s="139"/>
    </row>
    <row r="40" spans="2:15" s="1" customFormat="1" ht="11.25">
      <c r="B40" s="123"/>
      <c r="C40" s="23"/>
      <c r="D40" s="23"/>
      <c r="E40" s="51"/>
      <c r="F40" s="51"/>
      <c r="G40" s="51"/>
      <c r="H40" s="40"/>
      <c r="I40" s="40"/>
      <c r="J40" s="51"/>
      <c r="K40" s="51"/>
      <c r="L40" s="51"/>
      <c r="M40" s="132"/>
      <c r="N40" s="23"/>
      <c r="O40" s="139"/>
    </row>
    <row r="41" spans="2:15" s="1" customFormat="1" ht="11.25">
      <c r="B41" s="123" t="s">
        <v>1009</v>
      </c>
      <c r="C41" s="23"/>
      <c r="D41" s="23"/>
      <c r="E41" s="51">
        <f>'cpl-qtr1'!R44</f>
        <v>56388.488</v>
      </c>
      <c r="F41" s="51">
        <f>'cpl-qtr(b)'!O42</f>
        <v>56388</v>
      </c>
      <c r="G41" s="51">
        <v>0</v>
      </c>
      <c r="H41" s="56">
        <v>0</v>
      </c>
      <c r="I41" s="40"/>
      <c r="J41" s="51">
        <v>56388</v>
      </c>
      <c r="K41" s="51">
        <f>J41</f>
        <v>56388</v>
      </c>
      <c r="L41" s="51">
        <v>0</v>
      </c>
      <c r="M41" s="132"/>
      <c r="N41" s="23"/>
      <c r="O41" s="139"/>
    </row>
    <row r="42" spans="2:15" s="1" customFormat="1" ht="11.25">
      <c r="B42" s="123"/>
      <c r="C42" s="23"/>
      <c r="D42" s="23"/>
      <c r="E42" s="59"/>
      <c r="F42" s="59"/>
      <c r="G42" s="51"/>
      <c r="H42" s="40"/>
      <c r="I42" s="40"/>
      <c r="J42" s="51"/>
      <c r="K42" s="51"/>
      <c r="L42" s="51"/>
      <c r="M42" s="132"/>
      <c r="N42" s="23"/>
      <c r="O42" s="139"/>
    </row>
    <row r="43" spans="2:15" s="1" customFormat="1" ht="11.25">
      <c r="B43" s="123" t="s">
        <v>718</v>
      </c>
      <c r="C43" s="23"/>
      <c r="D43" s="23"/>
      <c r="E43" s="51">
        <f>E38+E41+E42</f>
        <v>59707.488</v>
      </c>
      <c r="F43" s="51">
        <f>F38+F41</f>
        <v>60661.951199999996</v>
      </c>
      <c r="G43" s="51">
        <f>E43-F43</f>
        <v>-954.4631999999983</v>
      </c>
      <c r="H43" s="56">
        <f>E43/F43*100</f>
        <v>98.42658671355102</v>
      </c>
      <c r="I43" s="40"/>
      <c r="J43" s="51">
        <f>J38+J41</f>
        <v>73677</v>
      </c>
      <c r="K43" s="51">
        <f>J43-E43</f>
        <v>13969.512000000002</v>
      </c>
      <c r="L43" s="56">
        <f>K43/J43*100</f>
        <v>18.96047884685859</v>
      </c>
      <c r="M43" s="132"/>
      <c r="N43" s="23"/>
      <c r="O43" s="139"/>
    </row>
    <row r="44" spans="2:15" s="1" customFormat="1" ht="11.25">
      <c r="B44" s="123"/>
      <c r="C44" s="23"/>
      <c r="D44" s="23"/>
      <c r="E44" s="51"/>
      <c r="F44" s="51"/>
      <c r="G44" s="51"/>
      <c r="H44" s="56"/>
      <c r="I44" s="40"/>
      <c r="J44" s="51"/>
      <c r="K44" s="51"/>
      <c r="L44" s="56"/>
      <c r="M44" s="132"/>
      <c r="N44" s="23"/>
      <c r="O44" s="139"/>
    </row>
    <row r="45" spans="2:15" s="1" customFormat="1" ht="11.25">
      <c r="B45" s="123" t="s">
        <v>957</v>
      </c>
      <c r="C45" s="23"/>
      <c r="D45" s="23"/>
      <c r="E45" s="51">
        <v>0</v>
      </c>
      <c r="F45" s="51">
        <v>0</v>
      </c>
      <c r="G45" s="51">
        <v>0</v>
      </c>
      <c r="H45" s="40"/>
      <c r="I45" s="40"/>
      <c r="J45" s="51"/>
      <c r="K45" s="51"/>
      <c r="L45" s="51"/>
      <c r="M45" s="132"/>
      <c r="N45" s="23"/>
      <c r="O45" s="139"/>
    </row>
    <row r="46" spans="2:15" s="1" customFormat="1" ht="11.25">
      <c r="B46" s="123"/>
      <c r="C46" s="23"/>
      <c r="D46" s="23"/>
      <c r="E46" s="51"/>
      <c r="F46" s="51"/>
      <c r="G46" s="51"/>
      <c r="H46" s="56"/>
      <c r="I46" s="40"/>
      <c r="J46" s="51"/>
      <c r="K46" s="51"/>
      <c r="L46" s="56"/>
      <c r="M46" s="132"/>
      <c r="N46" s="23"/>
      <c r="O46" s="139"/>
    </row>
    <row r="47" spans="2:15" s="1" customFormat="1" ht="11.25">
      <c r="B47" s="123"/>
      <c r="C47" s="23"/>
      <c r="D47" s="23"/>
      <c r="E47" s="59"/>
      <c r="F47" s="59"/>
      <c r="G47" s="51"/>
      <c r="H47" s="40"/>
      <c r="I47" s="40"/>
      <c r="J47" s="51"/>
      <c r="K47" s="51"/>
      <c r="L47" s="51"/>
      <c r="M47" s="132"/>
      <c r="N47" s="23"/>
      <c r="O47" s="139"/>
    </row>
    <row r="48" spans="2:15" s="1" customFormat="1" ht="11.25">
      <c r="B48" s="123" t="s">
        <v>1010</v>
      </c>
      <c r="C48" s="23"/>
      <c r="D48" s="23"/>
      <c r="E48" s="51">
        <f>SUM(E43:E46)</f>
        <v>59707.488</v>
      </c>
      <c r="F48" s="51">
        <f>SUM(F43:F47)</f>
        <v>60661.951199999996</v>
      </c>
      <c r="G48" s="51">
        <f>E48-F48</f>
        <v>-954.4631999999983</v>
      </c>
      <c r="H48" s="56">
        <f>E48/F48*100</f>
        <v>98.42658671355102</v>
      </c>
      <c r="I48" s="40"/>
      <c r="J48" s="51">
        <f>J43-J46</f>
        <v>73677</v>
      </c>
      <c r="K48" s="51">
        <f>J48-E48</f>
        <v>13969.512000000002</v>
      </c>
      <c r="L48" s="56">
        <f>K48/J48*100</f>
        <v>18.96047884685859</v>
      </c>
      <c r="M48" s="132"/>
      <c r="N48" s="23"/>
      <c r="O48" s="139"/>
    </row>
    <row r="49" spans="2:15" s="1" customFormat="1" ht="12" thickBot="1">
      <c r="B49" s="123"/>
      <c r="C49" s="23"/>
      <c r="D49" s="23"/>
      <c r="E49" s="54"/>
      <c r="F49" s="54"/>
      <c r="G49" s="51"/>
      <c r="H49" s="40"/>
      <c r="I49" s="40"/>
      <c r="J49" s="51"/>
      <c r="K49" s="51"/>
      <c r="L49" s="51"/>
      <c r="M49" s="132"/>
      <c r="N49" s="23"/>
      <c r="O49" s="139"/>
    </row>
    <row r="50" spans="2:15" s="1" customFormat="1" ht="12" thickBot="1">
      <c r="B50" s="141"/>
      <c r="C50" s="142"/>
      <c r="D50" s="142"/>
      <c r="E50" s="54"/>
      <c r="F50" s="54"/>
      <c r="G50" s="54"/>
      <c r="H50" s="143"/>
      <c r="I50" s="143"/>
      <c r="J50" s="54"/>
      <c r="K50" s="54"/>
      <c r="L50" s="54"/>
      <c r="M50" s="144"/>
      <c r="N50" s="142"/>
      <c r="O50" s="145"/>
    </row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</sheetData>
  <mergeCells count="9">
    <mergeCell ref="E7:H7"/>
    <mergeCell ref="K7:L7"/>
    <mergeCell ref="M7:O7"/>
    <mergeCell ref="M8:O8"/>
    <mergeCell ref="E5:H5"/>
    <mergeCell ref="K5:L5"/>
    <mergeCell ref="M5:O5"/>
    <mergeCell ref="E6:H6"/>
    <mergeCell ref="K6:L6"/>
  </mergeCells>
  <printOptions/>
  <pageMargins left="0.44" right="0.75" top="0.75" bottom="0.54" header="0.5" footer="0.5"/>
  <pageSetup horizontalDpi="360" verticalDpi="36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50"/>
  <sheetViews>
    <sheetView workbookViewId="0" topLeftCell="A1">
      <selection activeCell="E7" sqref="E7:H7"/>
    </sheetView>
  </sheetViews>
  <sheetFormatPr defaultColWidth="9.140625" defaultRowHeight="12.75"/>
  <cols>
    <col min="1" max="1" width="2.57421875" style="0" customWidth="1"/>
    <col min="4" max="4" width="11.421875" style="0" customWidth="1"/>
    <col min="6" max="6" width="10.140625" style="0" customWidth="1"/>
    <col min="7" max="7" width="10.421875" style="0" customWidth="1"/>
    <col min="8" max="8" width="10.421875" style="0" bestFit="1" customWidth="1"/>
    <col min="15" max="15" width="9.7109375" style="0" customWidth="1"/>
  </cols>
  <sheetData>
    <row r="1" spans="2:15" s="1" customFormat="1" ht="11.25">
      <c r="B1" s="5" t="s">
        <v>656</v>
      </c>
      <c r="O1" s="7"/>
    </row>
    <row r="2" s="1" customFormat="1" ht="11.25">
      <c r="B2" s="5" t="s">
        <v>657</v>
      </c>
    </row>
    <row r="3" s="1" customFormat="1" ht="11.25">
      <c r="B3" s="5" t="s">
        <v>962</v>
      </c>
    </row>
    <row r="4" s="1" customFormat="1" ht="12" thickBot="1">
      <c r="B4" s="1" t="s">
        <v>408</v>
      </c>
    </row>
    <row r="5" spans="2:15" s="1" customFormat="1" ht="11.25">
      <c r="B5" s="119"/>
      <c r="C5" s="120"/>
      <c r="D5" s="120"/>
      <c r="E5" s="612" t="s">
        <v>963</v>
      </c>
      <c r="F5" s="613"/>
      <c r="G5" s="613"/>
      <c r="H5" s="614"/>
      <c r="I5" s="122"/>
      <c r="J5" s="121" t="s">
        <v>658</v>
      </c>
      <c r="K5" s="612" t="s">
        <v>659</v>
      </c>
      <c r="L5" s="614"/>
      <c r="M5" s="612" t="s">
        <v>660</v>
      </c>
      <c r="N5" s="613"/>
      <c r="O5" s="615"/>
    </row>
    <row r="6" spans="2:15" s="1" customFormat="1" ht="12.75" customHeight="1">
      <c r="B6" s="123"/>
      <c r="C6" s="23"/>
      <c r="D6" s="23"/>
      <c r="E6" s="616" t="s">
        <v>964</v>
      </c>
      <c r="F6" s="617"/>
      <c r="G6" s="617"/>
      <c r="H6" s="618"/>
      <c r="I6" s="40"/>
      <c r="J6" s="124">
        <v>2001</v>
      </c>
      <c r="K6" s="616" t="s">
        <v>835</v>
      </c>
      <c r="L6" s="618"/>
      <c r="M6" s="126"/>
      <c r="N6" s="127"/>
      <c r="O6" s="128"/>
    </row>
    <row r="7" spans="2:15" s="1" customFormat="1" ht="11.25">
      <c r="B7" s="123"/>
      <c r="C7" s="23"/>
      <c r="D7" s="23"/>
      <c r="E7" s="619"/>
      <c r="F7" s="620"/>
      <c r="G7" s="620"/>
      <c r="H7" s="621"/>
      <c r="I7" s="40"/>
      <c r="J7" s="129" t="s">
        <v>880</v>
      </c>
      <c r="K7" s="610"/>
      <c r="L7" s="611"/>
      <c r="M7" s="622"/>
      <c r="N7" s="623"/>
      <c r="O7" s="624"/>
    </row>
    <row r="8" spans="2:15" s="1" customFormat="1" ht="11.25">
      <c r="B8" s="123"/>
      <c r="C8" s="23"/>
      <c r="D8" s="23"/>
      <c r="E8" s="130" t="s">
        <v>661</v>
      </c>
      <c r="F8" s="130" t="s">
        <v>662</v>
      </c>
      <c r="G8" s="130" t="s">
        <v>663</v>
      </c>
      <c r="H8" s="130" t="s">
        <v>751</v>
      </c>
      <c r="I8" s="40"/>
      <c r="J8" s="131"/>
      <c r="K8" s="40"/>
      <c r="L8" s="132" t="s">
        <v>664</v>
      </c>
      <c r="M8" s="622"/>
      <c r="N8" s="623"/>
      <c r="O8" s="624"/>
    </row>
    <row r="9" spans="2:15" s="1" customFormat="1" ht="11.25">
      <c r="B9" s="123"/>
      <c r="C9" s="23"/>
      <c r="D9" s="23"/>
      <c r="E9" s="133" t="s">
        <v>665</v>
      </c>
      <c r="F9" s="133" t="s">
        <v>666</v>
      </c>
      <c r="G9" s="133" t="s">
        <v>667</v>
      </c>
      <c r="H9" s="133" t="s">
        <v>959</v>
      </c>
      <c r="I9" s="40"/>
      <c r="J9" s="125" t="s">
        <v>668</v>
      </c>
      <c r="K9" s="36" t="s">
        <v>671</v>
      </c>
      <c r="L9" s="134" t="s">
        <v>672</v>
      </c>
      <c r="M9" s="134"/>
      <c r="N9" s="135"/>
      <c r="O9" s="136"/>
    </row>
    <row r="10" spans="2:15" s="1" customFormat="1" ht="11.25">
      <c r="B10" s="123"/>
      <c r="C10" s="23"/>
      <c r="D10" s="23"/>
      <c r="E10" s="33"/>
      <c r="F10" s="33"/>
      <c r="G10" s="33"/>
      <c r="H10" s="33"/>
      <c r="I10" s="40"/>
      <c r="J10" s="33"/>
      <c r="K10" s="33"/>
      <c r="L10" s="33"/>
      <c r="M10" s="104"/>
      <c r="N10" s="137"/>
      <c r="O10" s="138"/>
    </row>
    <row r="11" spans="2:15" s="1" customFormat="1" ht="12" thickBot="1">
      <c r="B11" s="123" t="s">
        <v>752</v>
      </c>
      <c r="C11" s="23"/>
      <c r="D11" s="23"/>
      <c r="E11" s="54">
        <f>'cpl-cumulative'!O9</f>
        <v>179829</v>
      </c>
      <c r="F11" s="54">
        <f>'cpl-12m(b)'!O8</f>
        <v>204105</v>
      </c>
      <c r="G11" s="51">
        <f>E11-F11</f>
        <v>-24276</v>
      </c>
      <c r="H11" s="330">
        <f>E11/F11*100</f>
        <v>88.10612184904828</v>
      </c>
      <c r="I11" s="40"/>
      <c r="J11" s="54">
        <f>F11</f>
        <v>204105</v>
      </c>
      <c r="K11" s="51">
        <f>J11-E11</f>
        <v>24276</v>
      </c>
      <c r="L11" s="56">
        <f>K11/J11*100</f>
        <v>11.893878150951716</v>
      </c>
      <c r="M11" s="132" t="s">
        <v>1002</v>
      </c>
      <c r="N11" s="23"/>
      <c r="O11" s="139"/>
    </row>
    <row r="12" spans="2:15" s="1" customFormat="1" ht="11.25">
      <c r="B12" s="123"/>
      <c r="C12" s="23"/>
      <c r="D12" s="23"/>
      <c r="E12" s="51"/>
      <c r="F12" s="51"/>
      <c r="G12" s="51"/>
      <c r="H12" s="40"/>
      <c r="I12" s="40"/>
      <c r="J12" s="51"/>
      <c r="K12" s="51"/>
      <c r="L12" s="51"/>
      <c r="M12" s="132" t="s">
        <v>203</v>
      </c>
      <c r="N12" s="23"/>
      <c r="O12" s="139"/>
    </row>
    <row r="13" spans="2:15" s="1" customFormat="1" ht="12" thickBot="1">
      <c r="B13" s="123" t="s">
        <v>673</v>
      </c>
      <c r="C13" s="23"/>
      <c r="D13" s="23"/>
      <c r="E13" s="54">
        <f>'cpl-cumulative'!O13</f>
        <v>2840</v>
      </c>
      <c r="F13" s="54">
        <f>'cpl-12m(b)'!O12</f>
        <v>1899</v>
      </c>
      <c r="G13" s="51">
        <f>E13-F13</f>
        <v>941</v>
      </c>
      <c r="H13" s="56">
        <f>E13/F13*100</f>
        <v>149.55239599789363</v>
      </c>
      <c r="I13" s="40"/>
      <c r="J13" s="54">
        <f>F13</f>
        <v>1899</v>
      </c>
      <c r="K13" s="51">
        <f>J13-E13</f>
        <v>-941</v>
      </c>
      <c r="L13" s="56">
        <f>K13/J13*100</f>
        <v>-49.552395997893626</v>
      </c>
      <c r="M13" s="132" t="s">
        <v>206</v>
      </c>
      <c r="N13" s="23"/>
      <c r="O13" s="139"/>
    </row>
    <row r="14" spans="2:15" s="1" customFormat="1" ht="11.25">
      <c r="B14" s="123"/>
      <c r="C14" s="23"/>
      <c r="D14" s="23"/>
      <c r="E14" s="51"/>
      <c r="F14" s="51"/>
      <c r="G14" s="51"/>
      <c r="H14" s="40"/>
      <c r="I14" s="40"/>
      <c r="J14" s="51"/>
      <c r="K14" s="51"/>
      <c r="L14" s="51"/>
      <c r="M14" s="132" t="s">
        <v>174</v>
      </c>
      <c r="N14" s="23"/>
      <c r="O14" s="139"/>
    </row>
    <row r="15" spans="2:15" s="1" customFormat="1" ht="11.25">
      <c r="B15" s="123" t="s">
        <v>711</v>
      </c>
      <c r="C15" s="23"/>
      <c r="D15" s="23"/>
      <c r="E15" s="51">
        <f>'cpl-cumulative'!O15</f>
        <v>32714</v>
      </c>
      <c r="F15" s="51">
        <f>'cpl-12m(b)'!O14</f>
        <v>34439</v>
      </c>
      <c r="G15" s="51">
        <f>E15-F15</f>
        <v>-1725</v>
      </c>
      <c r="H15" s="56">
        <f>E15/F15*100</f>
        <v>94.99114376143326</v>
      </c>
      <c r="I15" s="40"/>
      <c r="J15" s="51">
        <f>F15</f>
        <v>34439</v>
      </c>
      <c r="K15" s="51">
        <f>J15-E15</f>
        <v>1725</v>
      </c>
      <c r="L15" s="56">
        <f>K15/J15*100</f>
        <v>5.008856238566741</v>
      </c>
      <c r="M15" s="132" t="s">
        <v>207</v>
      </c>
      <c r="N15" s="23"/>
      <c r="O15" s="139"/>
    </row>
    <row r="16" spans="2:15" s="1" customFormat="1" ht="11.25">
      <c r="B16" s="123"/>
      <c r="C16" s="23"/>
      <c r="D16" s="23"/>
      <c r="E16" s="51"/>
      <c r="F16" s="51"/>
      <c r="G16" s="51"/>
      <c r="H16" s="56"/>
      <c r="I16" s="40"/>
      <c r="J16" s="51"/>
      <c r="K16" s="51"/>
      <c r="L16" s="56"/>
      <c r="M16" s="132" t="s">
        <v>208</v>
      </c>
      <c r="N16" s="23"/>
      <c r="O16" s="139"/>
    </row>
    <row r="17" spans="2:15" s="1" customFormat="1" ht="11.25">
      <c r="B17" s="123" t="s">
        <v>1080</v>
      </c>
      <c r="C17" s="23"/>
      <c r="D17" s="23"/>
      <c r="E17" s="51">
        <f>'cpl-cumulative'!O18</f>
        <v>3201</v>
      </c>
      <c r="F17" s="51">
        <f>'cpl-12m(b)'!O16</f>
        <v>2633</v>
      </c>
      <c r="G17" s="51">
        <f>E17-F17</f>
        <v>568</v>
      </c>
      <c r="H17" s="56">
        <f>E17/F17*100</f>
        <v>121.57235093049754</v>
      </c>
      <c r="I17" s="40"/>
      <c r="J17" s="51">
        <f>F17</f>
        <v>2633</v>
      </c>
      <c r="K17" s="51">
        <f>J17-E17</f>
        <v>-568</v>
      </c>
      <c r="L17" s="56">
        <f>K17/J17*100</f>
        <v>-21.57235093049753</v>
      </c>
      <c r="M17" s="132"/>
      <c r="N17" s="23"/>
      <c r="O17" s="139"/>
    </row>
    <row r="18" spans="2:15" s="1" customFormat="1" ht="11.25">
      <c r="B18" s="123"/>
      <c r="C18" s="23"/>
      <c r="D18" s="23"/>
      <c r="E18" s="51"/>
      <c r="F18" s="51"/>
      <c r="G18" s="51"/>
      <c r="H18" s="56"/>
      <c r="I18" s="40"/>
      <c r="J18" s="51"/>
      <c r="K18" s="51"/>
      <c r="L18" s="56"/>
      <c r="M18" s="132"/>
      <c r="N18" s="23"/>
      <c r="O18" s="139"/>
    </row>
    <row r="19" spans="2:15" s="1" customFormat="1" ht="11.25">
      <c r="B19" s="123" t="s">
        <v>1082</v>
      </c>
      <c r="C19" s="23"/>
      <c r="D19" s="23"/>
      <c r="E19" s="51">
        <f>'cpl-cumulative'!O20</f>
        <v>8271</v>
      </c>
      <c r="F19" s="51">
        <f>'cpl-12m(b)'!O18</f>
        <v>8845</v>
      </c>
      <c r="G19" s="51">
        <f>E19-F19</f>
        <v>-574</v>
      </c>
      <c r="H19" s="56">
        <f>E19/F19*100</f>
        <v>93.51045788581119</v>
      </c>
      <c r="I19" s="40"/>
      <c r="J19" s="51">
        <f>F19</f>
        <v>8845</v>
      </c>
      <c r="K19" s="51">
        <f>J19-E19</f>
        <v>574</v>
      </c>
      <c r="L19" s="56">
        <f>K19/J19*100</f>
        <v>6.489542114188806</v>
      </c>
      <c r="M19" s="132" t="s">
        <v>1032</v>
      </c>
      <c r="N19" s="23"/>
      <c r="O19" s="139"/>
    </row>
    <row r="20" spans="2:15" s="1" customFormat="1" ht="11.25">
      <c r="B20" s="123"/>
      <c r="C20" s="23"/>
      <c r="D20" s="23"/>
      <c r="E20" s="59"/>
      <c r="F20" s="59"/>
      <c r="G20" s="51"/>
      <c r="H20" s="56"/>
      <c r="I20" s="40"/>
      <c r="J20" s="59"/>
      <c r="K20" s="51"/>
      <c r="L20" s="56"/>
      <c r="M20" s="132" t="s">
        <v>1003</v>
      </c>
      <c r="N20" s="23"/>
      <c r="O20" s="139"/>
    </row>
    <row r="21" spans="2:15" s="1" customFormat="1" ht="11.25">
      <c r="B21" s="123" t="s">
        <v>712</v>
      </c>
      <c r="C21" s="23"/>
      <c r="D21" s="23"/>
      <c r="E21" s="51">
        <f>E15-E17-E19</f>
        <v>21242</v>
      </c>
      <c r="F21" s="51">
        <f>F15-F17-F19</f>
        <v>22961</v>
      </c>
      <c r="G21" s="51">
        <f>E21-F21</f>
        <v>-1719</v>
      </c>
      <c r="H21" s="56">
        <f>E21/F21*100</f>
        <v>92.51339227385567</v>
      </c>
      <c r="I21" s="40"/>
      <c r="J21" s="51">
        <f>J15-J17-J19</f>
        <v>22961</v>
      </c>
      <c r="K21" s="51">
        <f>J21-E21</f>
        <v>1719</v>
      </c>
      <c r="L21" s="56">
        <f>K21/J21*100</f>
        <v>7.486607726144332</v>
      </c>
      <c r="M21" s="132" t="s">
        <v>209</v>
      </c>
      <c r="N21" s="23"/>
      <c r="O21" s="139"/>
    </row>
    <row r="22" spans="2:15" s="1" customFormat="1" ht="11.25">
      <c r="B22" s="123"/>
      <c r="C22" s="23"/>
      <c r="D22" s="23"/>
      <c r="E22" s="51"/>
      <c r="F22" s="51"/>
      <c r="G22" s="51"/>
      <c r="H22" s="56"/>
      <c r="I22" s="40"/>
      <c r="J22" s="51"/>
      <c r="K22" s="51"/>
      <c r="L22" s="56"/>
      <c r="M22" s="132" t="s">
        <v>527</v>
      </c>
      <c r="N22" s="23"/>
      <c r="O22" s="139"/>
    </row>
    <row r="23" spans="2:15" s="1" customFormat="1" ht="11.25">
      <c r="B23" s="123" t="s">
        <v>924</v>
      </c>
      <c r="C23" s="23"/>
      <c r="D23" s="23"/>
      <c r="E23" s="59">
        <f>'cpl-cumulative'!O26</f>
        <v>236</v>
      </c>
      <c r="F23" s="59">
        <f>'cpl-12m(b)'!O20</f>
        <v>250</v>
      </c>
      <c r="G23" s="51">
        <f>E23-F23</f>
        <v>-14</v>
      </c>
      <c r="H23" s="56">
        <v>0</v>
      </c>
      <c r="I23" s="40"/>
      <c r="J23" s="59">
        <f>F23</f>
        <v>250</v>
      </c>
      <c r="K23" s="51">
        <v>0</v>
      </c>
      <c r="L23" s="56"/>
      <c r="M23" s="132" t="s">
        <v>528</v>
      </c>
      <c r="N23" s="23"/>
      <c r="O23" s="139"/>
    </row>
    <row r="24" spans="2:15" s="1" customFormat="1" ht="11.25">
      <c r="B24" s="123"/>
      <c r="C24" s="23"/>
      <c r="D24" s="23"/>
      <c r="E24" s="51">
        <f>E21-E23</f>
        <v>21006</v>
      </c>
      <c r="F24" s="51">
        <f>F21-F23</f>
        <v>22711</v>
      </c>
      <c r="G24" s="51">
        <f>E24-F24</f>
        <v>-1705</v>
      </c>
      <c r="H24" s="330">
        <f>E24/F24*100</f>
        <v>92.49262471929902</v>
      </c>
      <c r="I24" s="40"/>
      <c r="J24" s="51">
        <f>J21-J23</f>
        <v>22711</v>
      </c>
      <c r="K24" s="51">
        <f>J24-E24</f>
        <v>1705</v>
      </c>
      <c r="L24" s="56"/>
      <c r="M24" s="132"/>
      <c r="N24" s="23"/>
      <c r="O24" s="139"/>
    </row>
    <row r="25" spans="2:15" s="1" customFormat="1" ht="11.25">
      <c r="B25" s="123" t="s">
        <v>529</v>
      </c>
      <c r="C25" s="23"/>
      <c r="D25" s="23"/>
      <c r="E25" s="51">
        <f>'cpl-cumulative'!O30</f>
        <v>8857</v>
      </c>
      <c r="F25" s="51">
        <f>'cpl-12m(b)'!O24</f>
        <v>8820</v>
      </c>
      <c r="G25" s="50">
        <f>E25-F25</f>
        <v>37</v>
      </c>
      <c r="H25" s="330"/>
      <c r="I25" s="40"/>
      <c r="J25" s="51">
        <f>F25</f>
        <v>8820</v>
      </c>
      <c r="K25" s="50">
        <f>J25-E25</f>
        <v>-37</v>
      </c>
      <c r="L25" s="56"/>
      <c r="M25" s="132"/>
      <c r="N25" s="23"/>
      <c r="O25" s="139"/>
    </row>
    <row r="26" spans="2:15" s="1" customFormat="1" ht="11.25">
      <c r="B26" s="123" t="s">
        <v>971</v>
      </c>
      <c r="C26" s="23"/>
      <c r="D26" s="23"/>
      <c r="E26" s="59">
        <v>0</v>
      </c>
      <c r="F26" s="59">
        <f>'cpl-12m(b)'!O25</f>
        <v>0</v>
      </c>
      <c r="G26" s="51"/>
      <c r="H26" s="330"/>
      <c r="I26" s="40"/>
      <c r="J26" s="59">
        <f>F26</f>
        <v>0</v>
      </c>
      <c r="K26" s="51"/>
      <c r="L26" s="56"/>
      <c r="M26" s="132"/>
      <c r="N26" s="23"/>
      <c r="O26" s="139"/>
    </row>
    <row r="27" spans="2:15" s="1" customFormat="1" ht="11.25">
      <c r="B27" s="123"/>
      <c r="C27" s="23"/>
      <c r="D27" s="23"/>
      <c r="E27" s="51">
        <f>SUM(E24:E26)</f>
        <v>29863</v>
      </c>
      <c r="F27" s="51">
        <f>SUM(F24:F26)</f>
        <v>31531</v>
      </c>
      <c r="G27" s="51"/>
      <c r="H27" s="56"/>
      <c r="I27" s="40"/>
      <c r="J27" s="51">
        <f>SUM(J24:J26)</f>
        <v>31531</v>
      </c>
      <c r="K27" s="51"/>
      <c r="L27" s="56"/>
      <c r="M27" s="132" t="s">
        <v>210</v>
      </c>
      <c r="N27" s="23"/>
      <c r="O27" s="139"/>
    </row>
    <row r="28" spans="2:15" s="1" customFormat="1" ht="11.25">
      <c r="B28" s="123" t="s">
        <v>7</v>
      </c>
      <c r="C28" s="23"/>
      <c r="D28" s="23"/>
      <c r="E28" s="118">
        <f>'cpl-cumulative'!O33</f>
        <v>7002</v>
      </c>
      <c r="F28" s="118">
        <f>'cpl-12m(b)'!O28</f>
        <v>7698.2</v>
      </c>
      <c r="G28" s="51">
        <f>E28-F28</f>
        <v>-696.1999999999998</v>
      </c>
      <c r="H28" s="56">
        <f>E28/F28*100</f>
        <v>90.95632745317087</v>
      </c>
      <c r="I28" s="40"/>
      <c r="J28" s="118">
        <f>F28</f>
        <v>7698.2</v>
      </c>
      <c r="K28" s="51">
        <f>J28-E28</f>
        <v>696.1999999999998</v>
      </c>
      <c r="L28" s="56">
        <v>0</v>
      </c>
      <c r="M28" s="132" t="s">
        <v>211</v>
      </c>
      <c r="N28" s="23"/>
      <c r="O28" s="139"/>
    </row>
    <row r="29" spans="2:15" s="1" customFormat="1" ht="11.25">
      <c r="B29" s="123"/>
      <c r="C29" s="23"/>
      <c r="D29" s="23"/>
      <c r="E29" s="59"/>
      <c r="F29" s="59"/>
      <c r="G29" s="51"/>
      <c r="H29" s="40"/>
      <c r="I29" s="40"/>
      <c r="J29" s="51"/>
      <c r="K29" s="51"/>
      <c r="L29" s="51"/>
      <c r="M29" s="132" t="s">
        <v>526</v>
      </c>
      <c r="N29" s="23"/>
      <c r="O29" s="139"/>
    </row>
    <row r="30" spans="2:15" s="1" customFormat="1" ht="11.25">
      <c r="B30" s="123" t="s">
        <v>713</v>
      </c>
      <c r="C30" s="23"/>
      <c r="D30" s="23"/>
      <c r="E30" s="51">
        <f>E27-E28</f>
        <v>22861</v>
      </c>
      <c r="F30" s="51">
        <f>F27-F28</f>
        <v>23832.8</v>
      </c>
      <c r="G30" s="51">
        <f>E30-F30</f>
        <v>-971.7999999999993</v>
      </c>
      <c r="H30" s="56">
        <f>E30/F30*100</f>
        <v>95.92242623611158</v>
      </c>
      <c r="I30" s="40"/>
      <c r="J30" s="51">
        <f>J27-J28</f>
        <v>23832.8</v>
      </c>
      <c r="K30" s="51">
        <f>J30-E30</f>
        <v>971.7999999999993</v>
      </c>
      <c r="L30" s="56">
        <f>K30/J30*100</f>
        <v>4.077573763888419</v>
      </c>
      <c r="M30" s="132" t="s">
        <v>212</v>
      </c>
      <c r="N30" s="23"/>
      <c r="O30" s="139"/>
    </row>
    <row r="31" spans="2:15" s="1" customFormat="1" ht="11.25">
      <c r="B31" s="123"/>
      <c r="C31" s="23"/>
      <c r="D31" s="23"/>
      <c r="E31" s="51"/>
      <c r="F31" s="51"/>
      <c r="G31" s="51"/>
      <c r="H31" s="40"/>
      <c r="I31" s="40"/>
      <c r="J31" s="51"/>
      <c r="K31" s="51"/>
      <c r="L31" s="51"/>
      <c r="M31" s="132" t="s">
        <v>213</v>
      </c>
      <c r="N31" s="23"/>
      <c r="O31" s="139"/>
    </row>
    <row r="32" spans="2:15" s="1" customFormat="1" ht="11.25">
      <c r="B32" s="123" t="s">
        <v>714</v>
      </c>
      <c r="C32" s="23"/>
      <c r="D32" s="23"/>
      <c r="E32" s="118">
        <f>'cpl-cumulative'!O37</f>
        <v>2895</v>
      </c>
      <c r="F32" s="118">
        <f>'cpl-12m(b)'!O33</f>
        <v>2399.0371999999998</v>
      </c>
      <c r="G32" s="51">
        <f>E32-F32</f>
        <v>495.96280000000024</v>
      </c>
      <c r="H32" s="56">
        <v>0</v>
      </c>
      <c r="I32" s="40"/>
      <c r="J32" s="118">
        <f>F32</f>
        <v>2399.0371999999998</v>
      </c>
      <c r="K32" s="51">
        <f>J32-E32</f>
        <v>-495.96280000000024</v>
      </c>
      <c r="L32" s="56">
        <v>0</v>
      </c>
      <c r="M32" s="132" t="s">
        <v>1030</v>
      </c>
      <c r="N32" s="23"/>
      <c r="O32" s="139"/>
    </row>
    <row r="33" spans="2:15" s="1" customFormat="1" ht="11.25">
      <c r="B33" s="123"/>
      <c r="C33" s="23"/>
      <c r="D33" s="23"/>
      <c r="E33" s="59"/>
      <c r="F33" s="140"/>
      <c r="G33" s="51"/>
      <c r="H33" s="114"/>
      <c r="I33" s="40"/>
      <c r="J33" s="51"/>
      <c r="K33" s="51"/>
      <c r="L33" s="51"/>
      <c r="M33" s="132" t="s">
        <v>1031</v>
      </c>
      <c r="N33" s="23"/>
      <c r="O33" s="139"/>
    </row>
    <row r="34" spans="2:15" s="1" customFormat="1" ht="11.25">
      <c r="B34" s="123" t="s">
        <v>715</v>
      </c>
      <c r="C34" s="23"/>
      <c r="D34" s="23"/>
      <c r="E34" s="51">
        <f>E30-E32</f>
        <v>19966</v>
      </c>
      <c r="F34" s="51">
        <f>F30-F32</f>
        <v>21433.7628</v>
      </c>
      <c r="G34" s="51">
        <f>E34-F34</f>
        <v>-1467.7628000000004</v>
      </c>
      <c r="H34" s="56">
        <f>E34/F34*100</f>
        <v>93.15209926648997</v>
      </c>
      <c r="I34" s="40"/>
      <c r="J34" s="51">
        <f>J30-J32</f>
        <v>21433.7628</v>
      </c>
      <c r="K34" s="51">
        <f>J34-E34</f>
        <v>1467.7628000000004</v>
      </c>
      <c r="L34" s="56">
        <f>K34/J34*100</f>
        <v>6.8479007335100315</v>
      </c>
      <c r="M34" s="132"/>
      <c r="N34" s="23"/>
      <c r="O34" s="139"/>
    </row>
    <row r="35" spans="2:15" s="1" customFormat="1" ht="11.25">
      <c r="B35" s="123"/>
      <c r="C35" s="23"/>
      <c r="D35" s="23"/>
      <c r="E35" s="51"/>
      <c r="F35" s="51"/>
      <c r="G35" s="51"/>
      <c r="H35" s="40"/>
      <c r="I35" s="40"/>
      <c r="J35" s="51"/>
      <c r="K35" s="51"/>
      <c r="L35" s="51"/>
      <c r="M35" s="132" t="s">
        <v>219</v>
      </c>
      <c r="N35" s="23"/>
      <c r="O35" s="139"/>
    </row>
    <row r="36" spans="2:15" s="1" customFormat="1" ht="11.25">
      <c r="B36" s="123" t="s">
        <v>71</v>
      </c>
      <c r="C36" s="23"/>
      <c r="D36" s="23"/>
      <c r="E36" s="51">
        <v>0</v>
      </c>
      <c r="F36" s="51">
        <v>0</v>
      </c>
      <c r="G36" s="51">
        <v>0</v>
      </c>
      <c r="H36" s="56">
        <v>0</v>
      </c>
      <c r="I36" s="40"/>
      <c r="J36" s="51">
        <v>0</v>
      </c>
      <c r="K36" s="51">
        <v>0</v>
      </c>
      <c r="L36" s="51">
        <v>0</v>
      </c>
      <c r="M36" s="132"/>
      <c r="N36" s="23"/>
      <c r="O36" s="139"/>
    </row>
    <row r="37" spans="2:15" s="1" customFormat="1" ht="11.25">
      <c r="B37" s="123"/>
      <c r="C37" s="23"/>
      <c r="D37" s="23"/>
      <c r="E37" s="59"/>
      <c r="F37" s="59"/>
      <c r="G37" s="51"/>
      <c r="H37" s="40"/>
      <c r="I37" s="40"/>
      <c r="J37" s="51"/>
      <c r="K37" s="51"/>
      <c r="L37" s="51"/>
      <c r="M37" s="132" t="s">
        <v>214</v>
      </c>
      <c r="N37" s="23"/>
      <c r="O37" s="139"/>
    </row>
    <row r="38" spans="2:15" s="1" customFormat="1" ht="11.25">
      <c r="B38" s="123" t="s">
        <v>716</v>
      </c>
      <c r="C38" s="23"/>
      <c r="D38" s="23"/>
      <c r="E38" s="51">
        <f>E34-E36</f>
        <v>19966</v>
      </c>
      <c r="F38" s="51">
        <f>F34-F36</f>
        <v>21433.7628</v>
      </c>
      <c r="G38" s="51">
        <f>G34-G36</f>
        <v>-1467.7628000000004</v>
      </c>
      <c r="H38" s="56">
        <f>H34-H36</f>
        <v>93.15209926648997</v>
      </c>
      <c r="I38" s="40"/>
      <c r="J38" s="51">
        <f>J34-J36</f>
        <v>21433.7628</v>
      </c>
      <c r="K38" s="51">
        <f>J38-E38</f>
        <v>1467.7628000000004</v>
      </c>
      <c r="L38" s="56">
        <f>K38/J38*100</f>
        <v>6.8479007335100315</v>
      </c>
      <c r="M38" s="132" t="s">
        <v>215</v>
      </c>
      <c r="N38" s="23"/>
      <c r="O38" s="139"/>
    </row>
    <row r="39" spans="2:15" s="1" customFormat="1" ht="11.25">
      <c r="B39" s="123" t="s">
        <v>717</v>
      </c>
      <c r="C39" s="23"/>
      <c r="D39" s="23"/>
      <c r="E39" s="51"/>
      <c r="F39" s="51"/>
      <c r="G39" s="51"/>
      <c r="H39" s="40"/>
      <c r="I39" s="40"/>
      <c r="J39" s="51"/>
      <c r="K39" s="51"/>
      <c r="L39" s="51"/>
      <c r="M39" s="132"/>
      <c r="N39" s="23"/>
      <c r="O39" s="139"/>
    </row>
    <row r="40" spans="2:15" s="1" customFormat="1" ht="11.25">
      <c r="B40" s="123"/>
      <c r="C40" s="23"/>
      <c r="D40" s="23"/>
      <c r="E40" s="51"/>
      <c r="F40" s="51"/>
      <c r="G40" s="51"/>
      <c r="H40" s="40"/>
      <c r="I40" s="40"/>
      <c r="J40" s="51"/>
      <c r="K40" s="51"/>
      <c r="L40" s="51"/>
      <c r="M40" s="132" t="s">
        <v>216</v>
      </c>
      <c r="N40" s="23"/>
      <c r="O40" s="139"/>
    </row>
    <row r="41" spans="2:15" s="1" customFormat="1" ht="11.25">
      <c r="B41" s="123" t="s">
        <v>834</v>
      </c>
      <c r="C41" s="23"/>
      <c r="D41" s="23"/>
      <c r="E41" s="51">
        <f>'cpl-cumulative'!O42</f>
        <v>40428</v>
      </c>
      <c r="F41" s="51">
        <v>40428</v>
      </c>
      <c r="G41" s="51">
        <v>0</v>
      </c>
      <c r="H41" s="56">
        <v>0</v>
      </c>
      <c r="I41" s="40"/>
      <c r="J41" s="51">
        <v>40428</v>
      </c>
      <c r="K41" s="51">
        <f>J41</f>
        <v>40428</v>
      </c>
      <c r="L41" s="51">
        <v>0</v>
      </c>
      <c r="M41" s="132" t="s">
        <v>217</v>
      </c>
      <c r="N41" s="23"/>
      <c r="O41" s="139"/>
    </row>
    <row r="42" spans="2:15" s="1" customFormat="1" ht="11.25">
      <c r="B42" s="123"/>
      <c r="C42" s="23"/>
      <c r="D42" s="23"/>
      <c r="E42" s="59"/>
      <c r="F42" s="59"/>
      <c r="G42" s="51"/>
      <c r="H42" s="40"/>
      <c r="I42" s="40"/>
      <c r="J42" s="51"/>
      <c r="K42" s="51"/>
      <c r="L42" s="51"/>
      <c r="M42" s="132" t="s">
        <v>218</v>
      </c>
      <c r="N42" s="23"/>
      <c r="O42" s="139"/>
    </row>
    <row r="43" spans="2:15" s="1" customFormat="1" ht="11.25">
      <c r="B43" s="123" t="s">
        <v>718</v>
      </c>
      <c r="C43" s="23"/>
      <c r="D43" s="23"/>
      <c r="E43" s="51">
        <f>E38+E41+E42</f>
        <v>60394</v>
      </c>
      <c r="F43" s="51">
        <f>F38+F41</f>
        <v>61861.7628</v>
      </c>
      <c r="G43" s="51">
        <f>E43-F43</f>
        <v>-1467.7627999999968</v>
      </c>
      <c r="H43" s="56">
        <f>E43/F43*100</f>
        <v>97.6273505093198</v>
      </c>
      <c r="I43" s="40"/>
      <c r="J43" s="51">
        <f>J38+J41</f>
        <v>61861.7628</v>
      </c>
      <c r="K43" s="51">
        <f>J43-E43</f>
        <v>1467.7627999999968</v>
      </c>
      <c r="L43" s="56">
        <f>K43/J43*100</f>
        <v>2.3726494906802054</v>
      </c>
      <c r="M43" s="132"/>
      <c r="N43" s="23"/>
      <c r="O43" s="139"/>
    </row>
    <row r="44" spans="2:15" s="1" customFormat="1" ht="11.25">
      <c r="B44" s="123"/>
      <c r="C44" s="23"/>
      <c r="D44" s="23"/>
      <c r="E44" s="51"/>
      <c r="F44" s="51"/>
      <c r="G44" s="51"/>
      <c r="H44" s="56"/>
      <c r="I44" s="40"/>
      <c r="J44" s="51"/>
      <c r="K44" s="51"/>
      <c r="L44" s="56"/>
      <c r="M44" s="132"/>
      <c r="N44" s="23"/>
      <c r="O44" s="139"/>
    </row>
    <row r="45" spans="2:15" s="1" customFormat="1" ht="11.25">
      <c r="B45" s="123" t="s">
        <v>957</v>
      </c>
      <c r="C45" s="23"/>
      <c r="D45" s="23"/>
      <c r="E45" s="51">
        <v>0</v>
      </c>
      <c r="F45" s="51">
        <v>0</v>
      </c>
      <c r="G45" s="51">
        <v>0</v>
      </c>
      <c r="H45" s="40"/>
      <c r="I45" s="40"/>
      <c r="J45" s="51"/>
      <c r="K45" s="51"/>
      <c r="L45" s="51"/>
      <c r="M45" s="132"/>
      <c r="N45" s="23"/>
      <c r="O45" s="139"/>
    </row>
    <row r="46" spans="2:15" s="1" customFormat="1" ht="11.25">
      <c r="B46" s="123" t="s">
        <v>956</v>
      </c>
      <c r="C46" s="23"/>
      <c r="D46" s="23"/>
      <c r="E46" s="51">
        <f>'cpl-cumulative'!H46*0.5</f>
        <v>-2156.5</v>
      </c>
      <c r="F46" s="51">
        <v>0</v>
      </c>
      <c r="G46" s="51">
        <v>0</v>
      </c>
      <c r="H46" s="56"/>
      <c r="I46" s="40"/>
      <c r="J46" s="51">
        <v>0</v>
      </c>
      <c r="K46" s="51">
        <f>J46-E46</f>
        <v>2156.5</v>
      </c>
      <c r="L46" s="56">
        <v>0</v>
      </c>
      <c r="M46" s="132"/>
      <c r="N46" s="23"/>
      <c r="O46" s="139"/>
    </row>
    <row r="47" spans="2:15" s="1" customFormat="1" ht="11.25">
      <c r="B47" s="123"/>
      <c r="C47" s="23"/>
      <c r="D47" s="23"/>
      <c r="E47" s="59"/>
      <c r="F47" s="59"/>
      <c r="G47" s="51"/>
      <c r="H47" s="40"/>
      <c r="I47" s="40"/>
      <c r="J47" s="51"/>
      <c r="K47" s="51"/>
      <c r="L47" s="51"/>
      <c r="M47" s="132"/>
      <c r="N47" s="23"/>
      <c r="O47" s="139"/>
    </row>
    <row r="48" spans="2:15" s="1" customFormat="1" ht="11.25">
      <c r="B48" s="123" t="s">
        <v>581</v>
      </c>
      <c r="C48" s="23"/>
      <c r="D48" s="23"/>
      <c r="E48" s="51">
        <f>SUM(E43:E46)-1</f>
        <v>58236.5</v>
      </c>
      <c r="F48" s="51">
        <f>F43-F46</f>
        <v>61861.7628</v>
      </c>
      <c r="G48" s="51">
        <f>E48-F48</f>
        <v>-3625.262799999997</v>
      </c>
      <c r="H48" s="56">
        <f>E48/F48*100</f>
        <v>94.13973570116241</v>
      </c>
      <c r="I48" s="40"/>
      <c r="J48" s="51">
        <f>J43-J46</f>
        <v>61861.7628</v>
      </c>
      <c r="K48" s="51">
        <f>J48-E48</f>
        <v>3625.262799999997</v>
      </c>
      <c r="L48" s="56">
        <f>K48/J48*100</f>
        <v>5.860264298837596</v>
      </c>
      <c r="M48" s="132"/>
      <c r="N48" s="23"/>
      <c r="O48" s="139"/>
    </row>
    <row r="49" spans="2:15" s="1" customFormat="1" ht="12" thickBot="1">
      <c r="B49" s="123"/>
      <c r="C49" s="23"/>
      <c r="D49" s="23"/>
      <c r="E49" s="54"/>
      <c r="F49" s="54"/>
      <c r="G49" s="51"/>
      <c r="H49" s="40"/>
      <c r="I49" s="40"/>
      <c r="J49" s="51"/>
      <c r="K49" s="51"/>
      <c r="L49" s="51"/>
      <c r="M49" s="132"/>
      <c r="N49" s="23"/>
      <c r="O49" s="139"/>
    </row>
    <row r="50" spans="2:15" s="1" customFormat="1" ht="12" thickBot="1">
      <c r="B50" s="141"/>
      <c r="C50" s="142"/>
      <c r="D50" s="142"/>
      <c r="E50" s="54"/>
      <c r="F50" s="54"/>
      <c r="G50" s="54"/>
      <c r="H50" s="143"/>
      <c r="I50" s="143"/>
      <c r="J50" s="54"/>
      <c r="K50" s="54"/>
      <c r="L50" s="54"/>
      <c r="M50" s="144"/>
      <c r="N50" s="142"/>
      <c r="O50" s="145"/>
    </row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</sheetData>
  <mergeCells count="9">
    <mergeCell ref="E5:H5"/>
    <mergeCell ref="K5:L5"/>
    <mergeCell ref="M5:O5"/>
    <mergeCell ref="E6:H6"/>
    <mergeCell ref="K6:L6"/>
    <mergeCell ref="E7:H7"/>
    <mergeCell ref="K7:L7"/>
    <mergeCell ref="M7:O7"/>
    <mergeCell ref="M8:O8"/>
  </mergeCells>
  <printOptions/>
  <pageMargins left="0.2" right="0.21" top="0.18" bottom="0.46" header="0.17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workbookViewId="0" topLeftCell="C2">
      <selection activeCell="L35" sqref="L35"/>
    </sheetView>
  </sheetViews>
  <sheetFormatPr defaultColWidth="9.140625" defaultRowHeight="12.75"/>
  <cols>
    <col min="1" max="1" width="12.57421875" style="1" customWidth="1"/>
    <col min="2" max="2" width="9.8515625" style="1" customWidth="1"/>
    <col min="3" max="3" width="10.7109375" style="1" customWidth="1"/>
    <col min="4" max="4" width="11.00390625" style="1" customWidth="1"/>
    <col min="5" max="5" width="10.140625" style="1" customWidth="1"/>
    <col min="6" max="6" width="2.421875" style="23" customWidth="1"/>
    <col min="7" max="7" width="10.140625" style="1" customWidth="1"/>
    <col min="8" max="8" width="10.8515625" style="1" customWidth="1"/>
    <col min="9" max="9" width="10.421875" style="1" customWidth="1"/>
    <col min="10" max="10" width="12.140625" style="1" customWidth="1"/>
    <col min="11" max="11" width="4.57421875" style="1" customWidth="1"/>
    <col min="12" max="13" width="9.140625" style="1" customWidth="1"/>
    <col min="14" max="14" width="31.57421875" style="1" customWidth="1"/>
    <col min="15" max="16384" width="9.140625" style="1" customWidth="1"/>
  </cols>
  <sheetData>
    <row r="1" ht="11.25">
      <c r="A1" s="5" t="s">
        <v>95</v>
      </c>
    </row>
    <row r="2" ht="11.25">
      <c r="A2" s="5" t="s">
        <v>610</v>
      </c>
    </row>
    <row r="3" spans="1:10" ht="11.25">
      <c r="A3" s="5" t="s">
        <v>408</v>
      </c>
      <c r="J3" s="146"/>
    </row>
    <row r="4" ht="12" thickBot="1"/>
    <row r="5" spans="2:14" ht="11.25">
      <c r="B5" s="625" t="s">
        <v>960</v>
      </c>
      <c r="C5" s="626"/>
      <c r="D5" s="626"/>
      <c r="E5" s="591"/>
      <c r="F5" s="127"/>
      <c r="G5" s="625" t="s">
        <v>719</v>
      </c>
      <c r="H5" s="626"/>
      <c r="I5" s="626"/>
      <c r="J5" s="591"/>
      <c r="K5" s="23"/>
      <c r="L5" s="625" t="s">
        <v>660</v>
      </c>
      <c r="M5" s="626"/>
      <c r="N5" s="591"/>
    </row>
    <row r="6" spans="1:14" ht="12.75">
      <c r="A6"/>
      <c r="B6" s="147" t="s">
        <v>661</v>
      </c>
      <c r="C6" s="130" t="s">
        <v>662</v>
      </c>
      <c r="D6" s="130" t="s">
        <v>663</v>
      </c>
      <c r="E6" s="148" t="s">
        <v>751</v>
      </c>
      <c r="F6" s="127"/>
      <c r="G6" s="147" t="s">
        <v>661</v>
      </c>
      <c r="H6" s="130" t="s">
        <v>662</v>
      </c>
      <c r="I6" s="130" t="s">
        <v>663</v>
      </c>
      <c r="J6" s="148" t="s">
        <v>751</v>
      </c>
      <c r="K6" s="127"/>
      <c r="L6" s="327" t="s">
        <v>15</v>
      </c>
      <c r="M6" s="23"/>
      <c r="N6" s="139"/>
    </row>
    <row r="7" spans="1:14" ht="12.75">
      <c r="A7"/>
      <c r="B7" s="360"/>
      <c r="C7" s="133"/>
      <c r="D7" s="133"/>
      <c r="E7" s="149" t="s">
        <v>664</v>
      </c>
      <c r="F7" s="127"/>
      <c r="G7" s="360"/>
      <c r="H7" s="133"/>
      <c r="I7" s="133"/>
      <c r="J7" s="149" t="s">
        <v>664</v>
      </c>
      <c r="K7" s="23"/>
      <c r="L7" s="327" t="s">
        <v>16</v>
      </c>
      <c r="M7" s="23"/>
      <c r="N7" s="139"/>
    </row>
    <row r="8" spans="1:14" ht="11.25">
      <c r="A8" s="104"/>
      <c r="B8" s="150"/>
      <c r="C8" s="151"/>
      <c r="D8" s="40"/>
      <c r="E8" s="152"/>
      <c r="G8" s="150"/>
      <c r="H8" s="151"/>
      <c r="I8" s="40"/>
      <c r="J8" s="153"/>
      <c r="K8" s="23"/>
      <c r="L8" s="327" t="s">
        <v>17</v>
      </c>
      <c r="M8" s="23"/>
      <c r="N8" s="139"/>
    </row>
    <row r="9" spans="1:14" ht="11.25">
      <c r="A9" s="154"/>
      <c r="B9" s="155"/>
      <c r="C9" s="52"/>
      <c r="D9" s="40"/>
      <c r="E9" s="152"/>
      <c r="G9" s="155"/>
      <c r="H9" s="40"/>
      <c r="I9" s="40"/>
      <c r="J9" s="152"/>
      <c r="K9" s="23"/>
      <c r="L9" s="123" t="s">
        <v>18</v>
      </c>
      <c r="M9" s="73"/>
      <c r="N9" s="361"/>
    </row>
    <row r="10" spans="1:14" ht="12" thickBot="1">
      <c r="A10" s="144"/>
      <c r="B10" s="156" t="s">
        <v>665</v>
      </c>
      <c r="C10" s="157" t="s">
        <v>720</v>
      </c>
      <c r="D10" s="157" t="s">
        <v>721</v>
      </c>
      <c r="E10" s="158" t="s">
        <v>959</v>
      </c>
      <c r="G10" s="156" t="s">
        <v>668</v>
      </c>
      <c r="H10" s="157" t="s">
        <v>722</v>
      </c>
      <c r="I10" s="143" t="s">
        <v>723</v>
      </c>
      <c r="J10" s="159" t="s">
        <v>961</v>
      </c>
      <c r="K10" s="23"/>
      <c r="L10" s="362"/>
      <c r="M10" s="363"/>
      <c r="N10" s="364"/>
    </row>
    <row r="11" spans="1:14" ht="11.25">
      <c r="A11" s="132"/>
      <c r="B11" s="160"/>
      <c r="C11" s="161"/>
      <c r="D11" s="122"/>
      <c r="E11" s="162"/>
      <c r="G11" s="155"/>
      <c r="H11" s="40"/>
      <c r="I11" s="40"/>
      <c r="J11" s="152"/>
      <c r="K11" s="23"/>
      <c r="L11" s="123"/>
      <c r="M11" s="23"/>
      <c r="N11" s="139"/>
    </row>
    <row r="12" spans="1:14" ht="11.25">
      <c r="A12" s="588" t="s">
        <v>107</v>
      </c>
      <c r="B12" s="155"/>
      <c r="C12" s="163"/>
      <c r="D12" s="40"/>
      <c r="E12" s="152"/>
      <c r="G12" s="155"/>
      <c r="H12" s="40"/>
      <c r="I12" s="40"/>
      <c r="J12" s="152"/>
      <c r="K12" s="23"/>
      <c r="L12" s="123" t="s">
        <v>1011</v>
      </c>
      <c r="M12" s="23"/>
      <c r="N12" s="139"/>
    </row>
    <row r="13" spans="1:14" ht="11.25">
      <c r="A13" s="588" t="s">
        <v>952</v>
      </c>
      <c r="B13" s="520">
        <f>'cpl-qtr1'!D9</f>
        <v>506</v>
      </c>
      <c r="C13" s="521">
        <v>506</v>
      </c>
      <c r="D13" s="522"/>
      <c r="E13" s="523"/>
      <c r="F13" s="531"/>
      <c r="G13" s="520">
        <f>'cpl-qtr1'!D29</f>
        <v>289</v>
      </c>
      <c r="H13" s="522">
        <v>245</v>
      </c>
      <c r="I13" s="522"/>
      <c r="J13" s="152"/>
      <c r="K13" s="23"/>
      <c r="L13" s="123" t="s">
        <v>143</v>
      </c>
      <c r="M13" s="23"/>
      <c r="N13" s="139"/>
    </row>
    <row r="14" spans="1:14" ht="11.25">
      <c r="A14" s="588" t="s">
        <v>953</v>
      </c>
      <c r="B14" s="520">
        <f>'cpl-qtr2'!C10</f>
        <v>1274</v>
      </c>
      <c r="C14" s="521">
        <f>'cpl-qtr(b)'!C8-506</f>
        <v>581</v>
      </c>
      <c r="D14" s="522"/>
      <c r="E14" s="523"/>
      <c r="F14" s="531"/>
      <c r="G14" s="520">
        <f>1390-289</f>
        <v>1101</v>
      </c>
      <c r="H14" s="522">
        <f>565-245</f>
        <v>320</v>
      </c>
      <c r="I14" s="522"/>
      <c r="J14" s="152"/>
      <c r="K14" s="23"/>
      <c r="L14" s="123"/>
      <c r="M14" s="23"/>
      <c r="N14" s="139"/>
    </row>
    <row r="15" spans="1:14" ht="11.25">
      <c r="A15" s="588" t="s">
        <v>875</v>
      </c>
      <c r="B15" s="520">
        <v>0</v>
      </c>
      <c r="C15" s="521">
        <v>0</v>
      </c>
      <c r="D15" s="522"/>
      <c r="E15" s="523"/>
      <c r="F15" s="531"/>
      <c r="G15" s="520">
        <v>0</v>
      </c>
      <c r="H15" s="522">
        <v>0</v>
      </c>
      <c r="I15" s="522"/>
      <c r="J15" s="152"/>
      <c r="K15" s="23"/>
      <c r="L15" s="123"/>
      <c r="M15" s="23"/>
      <c r="N15" s="139"/>
    </row>
    <row r="16" spans="1:14" ht="11.25">
      <c r="A16" s="588" t="s">
        <v>965</v>
      </c>
      <c r="B16" s="520">
        <v>0</v>
      </c>
      <c r="C16" s="521">
        <v>0</v>
      </c>
      <c r="D16" s="522"/>
      <c r="E16" s="523"/>
      <c r="F16" s="531"/>
      <c r="G16" s="520">
        <v>0</v>
      </c>
      <c r="H16" s="522">
        <v>0</v>
      </c>
      <c r="I16" s="522"/>
      <c r="J16" s="152"/>
      <c r="K16" s="23"/>
      <c r="L16" s="123"/>
      <c r="M16" s="23"/>
      <c r="N16" s="139"/>
    </row>
    <row r="17" spans="1:14" ht="11.25">
      <c r="A17" s="588"/>
      <c r="B17" s="532">
        <f>SUM(B13:B16)</f>
        <v>1780</v>
      </c>
      <c r="C17" s="533">
        <f>SUM(C13:C16)</f>
        <v>1087</v>
      </c>
      <c r="D17" s="534">
        <f>B17-C17</f>
        <v>693</v>
      </c>
      <c r="E17" s="559">
        <f>B17/C17</f>
        <v>1.6375344986200553</v>
      </c>
      <c r="F17" s="531"/>
      <c r="G17" s="532">
        <f>SUM(G13:G16)</f>
        <v>1390</v>
      </c>
      <c r="H17" s="535">
        <f>SUM(H13:H16)</f>
        <v>565</v>
      </c>
      <c r="I17" s="535">
        <f>G17-H17</f>
        <v>825</v>
      </c>
      <c r="J17" s="559">
        <f>G17/H17</f>
        <v>2.4601769911504423</v>
      </c>
      <c r="K17" s="23"/>
      <c r="L17" s="123"/>
      <c r="M17" s="23"/>
      <c r="N17" s="139"/>
    </row>
    <row r="18" spans="1:14" ht="11.25">
      <c r="A18" s="588"/>
      <c r="B18" s="536"/>
      <c r="C18" s="537"/>
      <c r="D18" s="522"/>
      <c r="E18" s="560"/>
      <c r="F18" s="531"/>
      <c r="G18" s="536"/>
      <c r="H18" s="539"/>
      <c r="I18" s="539"/>
      <c r="J18" s="560"/>
      <c r="K18" s="23"/>
      <c r="L18" s="123"/>
      <c r="M18" s="23"/>
      <c r="N18" s="139"/>
    </row>
    <row r="19" spans="1:14" ht="11.25">
      <c r="A19" s="588" t="s">
        <v>724</v>
      </c>
      <c r="B19" s="536"/>
      <c r="C19" s="537"/>
      <c r="D19" s="522"/>
      <c r="E19" s="560"/>
      <c r="F19" s="531"/>
      <c r="G19" s="536"/>
      <c r="H19" s="539"/>
      <c r="I19" s="539"/>
      <c r="J19" s="560"/>
      <c r="K19" s="23"/>
      <c r="L19" s="123"/>
      <c r="M19" s="23"/>
      <c r="N19" s="139"/>
    </row>
    <row r="20" spans="1:14" ht="11.25">
      <c r="A20" s="588" t="s">
        <v>952</v>
      </c>
      <c r="B20" s="536">
        <f>'cpl-qtr1'!E9</f>
        <v>1498</v>
      </c>
      <c r="C20" s="537">
        <v>17620</v>
      </c>
      <c r="D20" s="522"/>
      <c r="E20" s="560"/>
      <c r="F20" s="531"/>
      <c r="G20" s="536">
        <f>'cpl-qtr1'!E29</f>
        <v>267</v>
      </c>
      <c r="H20" s="539">
        <v>2566</v>
      </c>
      <c r="I20" s="539"/>
      <c r="J20" s="560"/>
      <c r="K20" s="23"/>
      <c r="L20" s="123" t="s">
        <v>144</v>
      </c>
      <c r="M20" s="23"/>
      <c r="N20" s="139"/>
    </row>
    <row r="21" spans="1:14" ht="11.25">
      <c r="A21" s="588" t="s">
        <v>953</v>
      </c>
      <c r="B21" s="536">
        <f>'cpl-qtr2'!D10</f>
        <v>7983</v>
      </c>
      <c r="C21" s="540">
        <f>'cpl-qtr(b)'!D8-17620</f>
        <v>8565</v>
      </c>
      <c r="D21" s="522"/>
      <c r="E21" s="561"/>
      <c r="F21" s="531"/>
      <c r="G21" s="536">
        <f>1923-267</f>
        <v>1656</v>
      </c>
      <c r="H21" s="539">
        <f>4539-2566</f>
        <v>1973</v>
      </c>
      <c r="I21" s="539"/>
      <c r="J21" s="561"/>
      <c r="K21" s="23"/>
      <c r="L21" s="123" t="s">
        <v>146</v>
      </c>
      <c r="M21" s="23"/>
      <c r="N21" s="139"/>
    </row>
    <row r="22" spans="1:14" ht="11.25">
      <c r="A22" s="588" t="s">
        <v>875</v>
      </c>
      <c r="B22" s="536">
        <v>0</v>
      </c>
      <c r="C22" s="540">
        <v>0</v>
      </c>
      <c r="D22" s="522"/>
      <c r="E22" s="561"/>
      <c r="F22" s="531"/>
      <c r="G22" s="536">
        <v>0</v>
      </c>
      <c r="H22" s="539">
        <v>0</v>
      </c>
      <c r="I22" s="539"/>
      <c r="J22" s="561"/>
      <c r="K22" s="23"/>
      <c r="L22" s="123" t="s">
        <v>145</v>
      </c>
      <c r="M22" s="23"/>
      <c r="N22" s="139"/>
    </row>
    <row r="23" spans="1:14" ht="11.25">
      <c r="A23" s="588" t="s">
        <v>965</v>
      </c>
      <c r="B23" s="536">
        <v>0</v>
      </c>
      <c r="C23" s="540">
        <v>0</v>
      </c>
      <c r="D23" s="522"/>
      <c r="E23" s="561"/>
      <c r="F23" s="531"/>
      <c r="G23" s="536">
        <v>0</v>
      </c>
      <c r="H23" s="539">
        <v>0</v>
      </c>
      <c r="I23" s="539"/>
      <c r="J23" s="561"/>
      <c r="K23" s="23"/>
      <c r="L23" s="123" t="s">
        <v>19</v>
      </c>
      <c r="M23" s="23"/>
      <c r="N23" s="139"/>
    </row>
    <row r="24" spans="1:14" ht="11.25">
      <c r="A24" s="588"/>
      <c r="B24" s="532">
        <f>SUM(B20:B23)</f>
        <v>9481</v>
      </c>
      <c r="C24" s="533">
        <f>SUM(C20:C23)</f>
        <v>26185</v>
      </c>
      <c r="D24" s="534">
        <f>B24-C24</f>
        <v>-16704</v>
      </c>
      <c r="E24" s="559">
        <f>B24/C24</f>
        <v>0.3620775253007447</v>
      </c>
      <c r="F24" s="531"/>
      <c r="G24" s="532">
        <f>SUM(G20:G23)</f>
        <v>1923</v>
      </c>
      <c r="H24" s="535">
        <f>SUM(H20:H23)</f>
        <v>4539</v>
      </c>
      <c r="I24" s="535">
        <f>G24-H24</f>
        <v>-2616</v>
      </c>
      <c r="J24" s="559">
        <f>G24/H24</f>
        <v>0.42366159947124915</v>
      </c>
      <c r="K24" s="23"/>
      <c r="L24" s="123" t="s">
        <v>706</v>
      </c>
      <c r="M24" s="23"/>
      <c r="N24" s="139"/>
    </row>
    <row r="25" spans="1:14" ht="11.25">
      <c r="A25" s="588"/>
      <c r="B25" s="520"/>
      <c r="C25" s="521"/>
      <c r="D25" s="522"/>
      <c r="E25" s="561"/>
      <c r="F25" s="531"/>
      <c r="G25" s="536"/>
      <c r="H25" s="539"/>
      <c r="I25" s="539"/>
      <c r="J25" s="561"/>
      <c r="K25" s="23"/>
      <c r="L25" s="123" t="s">
        <v>707</v>
      </c>
      <c r="M25" s="23"/>
      <c r="N25" s="139"/>
    </row>
    <row r="26" spans="1:14" ht="11.25">
      <c r="A26" s="588" t="s">
        <v>98</v>
      </c>
      <c r="B26" s="520"/>
      <c r="C26" s="521"/>
      <c r="D26" s="522"/>
      <c r="E26" s="561"/>
      <c r="F26" s="531"/>
      <c r="G26" s="536"/>
      <c r="H26" s="539"/>
      <c r="I26" s="539"/>
      <c r="J26" s="561"/>
      <c r="K26" s="23"/>
      <c r="L26" s="123"/>
      <c r="M26" s="23"/>
      <c r="N26" s="139"/>
    </row>
    <row r="27" spans="1:14" ht="11.25">
      <c r="A27" s="588" t="s">
        <v>952</v>
      </c>
      <c r="B27" s="536">
        <f>'cpl-qtr1'!F9</f>
        <v>17204</v>
      </c>
      <c r="C27" s="537">
        <v>20231</v>
      </c>
      <c r="D27" s="522"/>
      <c r="E27" s="561"/>
      <c r="F27" s="531"/>
      <c r="G27" s="536">
        <f>'cpl-qtr1'!F29</f>
        <v>-2219</v>
      </c>
      <c r="H27" s="539">
        <v>-2138</v>
      </c>
      <c r="I27" s="539"/>
      <c r="J27" s="561"/>
      <c r="K27" s="23"/>
      <c r="L27" s="123" t="s">
        <v>147</v>
      </c>
      <c r="M27" s="23"/>
      <c r="N27" s="139"/>
    </row>
    <row r="28" spans="1:14" ht="11.25">
      <c r="A28" s="588" t="s">
        <v>953</v>
      </c>
      <c r="B28" s="536">
        <f>'cpl-qtr2'!E10</f>
        <v>26849</v>
      </c>
      <c r="C28" s="540">
        <f>'cpl-qtr(b)'!E8-20231</f>
        <v>30347</v>
      </c>
      <c r="D28" s="522"/>
      <c r="E28" s="561"/>
      <c r="F28" s="531"/>
      <c r="G28" s="536">
        <f>1889--2219</f>
        <v>4108</v>
      </c>
      <c r="H28" s="539">
        <f>831--2138</f>
        <v>2969</v>
      </c>
      <c r="I28" s="539"/>
      <c r="J28" s="561"/>
      <c r="K28" s="23"/>
      <c r="L28" s="123" t="s">
        <v>148</v>
      </c>
      <c r="M28" s="23"/>
      <c r="N28" s="139"/>
    </row>
    <row r="29" spans="1:14" ht="11.25">
      <c r="A29" s="588" t="s">
        <v>875</v>
      </c>
      <c r="B29" s="536">
        <v>0</v>
      </c>
      <c r="C29" s="540">
        <v>0</v>
      </c>
      <c r="D29" s="522"/>
      <c r="E29" s="561"/>
      <c r="F29" s="531"/>
      <c r="G29" s="536">
        <v>0</v>
      </c>
      <c r="H29" s="539">
        <v>0</v>
      </c>
      <c r="I29" s="539"/>
      <c r="J29" s="561"/>
      <c r="K29" s="23"/>
      <c r="L29" s="123" t="s">
        <v>459</v>
      </c>
      <c r="M29" s="23"/>
      <c r="N29" s="139"/>
    </row>
    <row r="30" spans="1:14" ht="11.25">
      <c r="A30" s="588" t="s">
        <v>965</v>
      </c>
      <c r="B30" s="536">
        <v>0</v>
      </c>
      <c r="C30" s="540">
        <v>0</v>
      </c>
      <c r="D30" s="522"/>
      <c r="E30" s="561"/>
      <c r="F30" s="531"/>
      <c r="G30" s="536">
        <v>0</v>
      </c>
      <c r="H30" s="539">
        <v>0</v>
      </c>
      <c r="I30" s="539"/>
      <c r="J30" s="561"/>
      <c r="K30" s="23"/>
      <c r="L30" s="123" t="s">
        <v>460</v>
      </c>
      <c r="M30" s="23"/>
      <c r="N30" s="139"/>
    </row>
    <row r="31" spans="1:14" ht="11.25">
      <c r="A31" s="588"/>
      <c r="B31" s="532">
        <f>SUM(B27:B30)</f>
        <v>44053</v>
      </c>
      <c r="C31" s="533">
        <f>SUM(C27:C30)</f>
        <v>50578</v>
      </c>
      <c r="D31" s="534">
        <f>B31-C31</f>
        <v>-6525</v>
      </c>
      <c r="E31" s="559">
        <f>(B31/C31)</f>
        <v>0.8709913401083476</v>
      </c>
      <c r="F31" s="531"/>
      <c r="G31" s="532">
        <f>SUM(G27:G30)</f>
        <v>1889</v>
      </c>
      <c r="H31" s="535">
        <f>SUM(H27:H30)</f>
        <v>831</v>
      </c>
      <c r="I31" s="535">
        <f>G31-H31</f>
        <v>1058</v>
      </c>
      <c r="J31" s="559">
        <f>G31/H31</f>
        <v>2.273164861612515</v>
      </c>
      <c r="K31" s="23"/>
      <c r="L31" s="123" t="s">
        <v>461</v>
      </c>
      <c r="M31" s="23"/>
      <c r="N31" s="139"/>
    </row>
    <row r="32" spans="1:14" ht="11.25">
      <c r="A32" s="588"/>
      <c r="B32" s="520"/>
      <c r="C32" s="521"/>
      <c r="D32" s="522"/>
      <c r="E32" s="561"/>
      <c r="F32" s="531"/>
      <c r="G32" s="536"/>
      <c r="H32" s="539"/>
      <c r="I32" s="539"/>
      <c r="J32" s="562"/>
      <c r="K32" s="23"/>
      <c r="L32" s="123"/>
      <c r="M32" s="23"/>
      <c r="N32" s="139"/>
    </row>
    <row r="33" spans="1:14" ht="11.25">
      <c r="A33" s="588" t="s">
        <v>14</v>
      </c>
      <c r="B33" s="520"/>
      <c r="C33" s="521"/>
      <c r="D33" s="541"/>
      <c r="E33" s="561"/>
      <c r="F33" s="531"/>
      <c r="G33" s="536"/>
      <c r="H33" s="539"/>
      <c r="I33" s="539"/>
      <c r="J33" s="561"/>
      <c r="K33" s="23"/>
      <c r="L33" s="123"/>
      <c r="M33" s="23"/>
      <c r="N33" s="139"/>
    </row>
    <row r="34" spans="1:14" ht="11.25">
      <c r="A34" s="588" t="s">
        <v>952</v>
      </c>
      <c r="B34" s="536">
        <f>'cpl-qtr1'!G9</f>
        <v>0</v>
      </c>
      <c r="C34" s="521">
        <f>'cpl-qtr(b)'!F8</f>
        <v>0</v>
      </c>
      <c r="D34" s="541"/>
      <c r="E34" s="561"/>
      <c r="F34" s="531"/>
      <c r="G34" s="536">
        <f>'cpl-qtr1'!G29</f>
        <v>10</v>
      </c>
      <c r="H34" s="539">
        <v>0</v>
      </c>
      <c r="I34" s="539"/>
      <c r="J34" s="560"/>
      <c r="K34" s="152"/>
      <c r="L34" s="123" t="s">
        <v>20</v>
      </c>
      <c r="M34" s="23"/>
      <c r="N34" s="139"/>
    </row>
    <row r="35" spans="1:14" ht="11.25">
      <c r="A35" s="588" t="s">
        <v>953</v>
      </c>
      <c r="B35" s="536">
        <v>0</v>
      </c>
      <c r="C35" s="536">
        <v>0</v>
      </c>
      <c r="D35" s="541"/>
      <c r="E35" s="561"/>
      <c r="F35" s="531"/>
      <c r="G35" s="536">
        <v>7</v>
      </c>
      <c r="H35" s="539">
        <v>0</v>
      </c>
      <c r="I35" s="539"/>
      <c r="J35" s="560"/>
      <c r="K35" s="23"/>
      <c r="L35" s="123" t="s">
        <v>21</v>
      </c>
      <c r="M35" s="23"/>
      <c r="N35" s="139"/>
    </row>
    <row r="36" spans="1:14" ht="11.25">
      <c r="A36" s="588" t="s">
        <v>875</v>
      </c>
      <c r="B36" s="536">
        <f>'[1]cpl-qtr3'!F10</f>
        <v>0</v>
      </c>
      <c r="C36" s="540">
        <v>0</v>
      </c>
      <c r="D36" s="541"/>
      <c r="E36" s="561"/>
      <c r="F36" s="531"/>
      <c r="G36" s="536">
        <v>0</v>
      </c>
      <c r="H36" s="539">
        <v>0</v>
      </c>
      <c r="I36" s="539"/>
      <c r="J36" s="560"/>
      <c r="K36" s="23"/>
      <c r="L36" s="123" t="s">
        <v>22</v>
      </c>
      <c r="M36" s="23"/>
      <c r="N36" s="139"/>
    </row>
    <row r="37" spans="1:14" ht="11.25">
      <c r="A37" s="588" t="s">
        <v>965</v>
      </c>
      <c r="B37" s="542">
        <f>'cpl-qtr4'!F10</f>
        <v>0</v>
      </c>
      <c r="C37" s="543">
        <v>0</v>
      </c>
      <c r="D37" s="541"/>
      <c r="E37" s="561"/>
      <c r="F37" s="531"/>
      <c r="G37" s="536">
        <v>0</v>
      </c>
      <c r="H37" s="544">
        <v>0</v>
      </c>
      <c r="I37" s="539"/>
      <c r="J37" s="560"/>
      <c r="K37" s="23"/>
      <c r="L37" s="123" t="s">
        <v>23</v>
      </c>
      <c r="M37" s="23"/>
      <c r="N37" s="139"/>
    </row>
    <row r="38" spans="1:14" ht="11.25">
      <c r="A38" s="588"/>
      <c r="B38" s="532">
        <v>0</v>
      </c>
      <c r="C38" s="535">
        <v>0</v>
      </c>
      <c r="D38" s="545">
        <f>B38-C38</f>
        <v>0</v>
      </c>
      <c r="E38" s="559">
        <v>0</v>
      </c>
      <c r="F38" s="531"/>
      <c r="G38" s="532">
        <f>G34+G35+G36+G37</f>
        <v>17</v>
      </c>
      <c r="H38" s="535">
        <v>0</v>
      </c>
      <c r="I38" s="535">
        <f>G38-H38</f>
        <v>17</v>
      </c>
      <c r="J38" s="559">
        <v>0</v>
      </c>
      <c r="K38" s="23"/>
      <c r="L38" s="123"/>
      <c r="M38" s="23"/>
      <c r="N38" s="139"/>
    </row>
    <row r="39" spans="1:14" ht="11.25">
      <c r="A39" s="588"/>
      <c r="B39" s="520"/>
      <c r="C39" s="546"/>
      <c r="D39" s="541"/>
      <c r="E39" s="561"/>
      <c r="F39" s="531"/>
      <c r="G39" s="536"/>
      <c r="H39" s="539"/>
      <c r="I39" s="539"/>
      <c r="J39" s="561"/>
      <c r="K39" s="23"/>
      <c r="L39" s="123"/>
      <c r="M39" s="23"/>
      <c r="N39" s="139"/>
    </row>
    <row r="40" spans="1:14" ht="11.25">
      <c r="A40" s="588" t="s">
        <v>100</v>
      </c>
      <c r="B40" s="520"/>
      <c r="C40" s="546"/>
      <c r="D40" s="541"/>
      <c r="E40" s="561"/>
      <c r="F40" s="531"/>
      <c r="G40" s="536"/>
      <c r="H40" s="539"/>
      <c r="I40" s="539"/>
      <c r="J40" s="561"/>
      <c r="K40" s="23"/>
      <c r="L40" s="123"/>
      <c r="M40" s="23"/>
      <c r="N40" s="139"/>
    </row>
    <row r="41" spans="1:14" ht="11.25">
      <c r="A41" s="588" t="s">
        <v>952</v>
      </c>
      <c r="B41" s="536">
        <f>'cpl-qtr1'!H9</f>
        <v>3194</v>
      </c>
      <c r="C41" s="547">
        <v>3083</v>
      </c>
      <c r="D41" s="541"/>
      <c r="E41" s="561"/>
      <c r="F41" s="531"/>
      <c r="G41" s="536">
        <f>'cpl-qtr1'!H29</f>
        <v>-242</v>
      </c>
      <c r="H41" s="539">
        <v>-282</v>
      </c>
      <c r="I41" s="539"/>
      <c r="J41" s="561"/>
      <c r="K41" s="23"/>
      <c r="L41" s="123" t="s">
        <v>149</v>
      </c>
      <c r="M41" s="23"/>
      <c r="N41" s="139"/>
    </row>
    <row r="42" spans="1:14" ht="11.25">
      <c r="A42" s="588" t="s">
        <v>953</v>
      </c>
      <c r="B42" s="536">
        <v>5184</v>
      </c>
      <c r="C42" s="547">
        <f>7778-3083</f>
        <v>4695</v>
      </c>
      <c r="D42" s="541"/>
      <c r="E42" s="561"/>
      <c r="F42" s="531"/>
      <c r="G42" s="536">
        <v>957</v>
      </c>
      <c r="H42" s="539">
        <f>582+282</f>
        <v>864</v>
      </c>
      <c r="I42" s="539"/>
      <c r="J42" s="561"/>
      <c r="K42" s="23"/>
      <c r="L42" s="123" t="s">
        <v>150</v>
      </c>
      <c r="M42" s="23"/>
      <c r="N42" s="139"/>
    </row>
    <row r="43" spans="1:14" ht="11.25">
      <c r="A43" s="588" t="s">
        <v>875</v>
      </c>
      <c r="B43" s="536">
        <v>0</v>
      </c>
      <c r="C43" s="547">
        <v>0</v>
      </c>
      <c r="D43" s="541"/>
      <c r="E43" s="561"/>
      <c r="F43" s="531"/>
      <c r="G43" s="536">
        <v>0</v>
      </c>
      <c r="H43" s="539">
        <v>0</v>
      </c>
      <c r="I43" s="539"/>
      <c r="J43" s="561"/>
      <c r="K43" s="23"/>
      <c r="L43" s="123" t="s">
        <v>151</v>
      </c>
      <c r="M43" s="23"/>
      <c r="N43" s="139"/>
    </row>
    <row r="44" spans="1:14" ht="11.25">
      <c r="A44" s="588" t="s">
        <v>965</v>
      </c>
      <c r="B44" s="536">
        <v>0</v>
      </c>
      <c r="C44" s="547">
        <v>0</v>
      </c>
      <c r="D44" s="541"/>
      <c r="E44" s="561"/>
      <c r="F44" s="531"/>
      <c r="G44" s="536">
        <v>0</v>
      </c>
      <c r="H44" s="539">
        <v>0</v>
      </c>
      <c r="I44" s="539"/>
      <c r="J44" s="561"/>
      <c r="K44" s="23"/>
      <c r="L44" s="123" t="s">
        <v>152</v>
      </c>
      <c r="M44" s="23"/>
      <c r="N44" s="139"/>
    </row>
    <row r="45" spans="1:14" ht="11.25">
      <c r="A45" s="588"/>
      <c r="B45" s="532">
        <f>SUM(B41:B44)</f>
        <v>8378</v>
      </c>
      <c r="C45" s="532">
        <f>SUM(C41:C44)</f>
        <v>7778</v>
      </c>
      <c r="D45" s="534">
        <f>B45-C45</f>
        <v>600</v>
      </c>
      <c r="E45" s="559">
        <f>(B45/C45)</f>
        <v>1.0771406531241965</v>
      </c>
      <c r="F45" s="531"/>
      <c r="G45" s="532">
        <f>G41+G42+G43+G44</f>
        <v>715</v>
      </c>
      <c r="H45" s="535">
        <f>H41+H42+H43+H44</f>
        <v>582</v>
      </c>
      <c r="I45" s="535">
        <f>G45-H45</f>
        <v>133</v>
      </c>
      <c r="J45" s="559">
        <f>G45/H45</f>
        <v>1.2285223367697595</v>
      </c>
      <c r="K45" s="23"/>
      <c r="L45" s="123"/>
      <c r="M45" s="23"/>
      <c r="N45" s="139"/>
    </row>
    <row r="46" spans="1:14" ht="11.25">
      <c r="A46" s="588"/>
      <c r="B46" s="520"/>
      <c r="C46" s="546"/>
      <c r="D46" s="541"/>
      <c r="E46" s="561"/>
      <c r="F46" s="531"/>
      <c r="G46" s="536"/>
      <c r="H46" s="539"/>
      <c r="I46" s="539"/>
      <c r="J46" s="562"/>
      <c r="K46" s="23"/>
      <c r="L46" s="123"/>
      <c r="M46" s="23"/>
      <c r="N46" s="139"/>
    </row>
    <row r="47" spans="1:14" ht="11.25">
      <c r="A47" s="588" t="s">
        <v>101</v>
      </c>
      <c r="B47" s="520"/>
      <c r="C47" s="521"/>
      <c r="D47" s="541"/>
      <c r="E47" s="561"/>
      <c r="F47" s="531"/>
      <c r="G47" s="536"/>
      <c r="H47" s="539"/>
      <c r="I47" s="539"/>
      <c r="J47" s="561"/>
      <c r="K47" s="23"/>
      <c r="L47" s="123"/>
      <c r="M47" s="23"/>
      <c r="N47" s="139"/>
    </row>
    <row r="48" spans="1:14" ht="11.25">
      <c r="A48" s="588" t="s">
        <v>952</v>
      </c>
      <c r="B48" s="536">
        <f>'cpl-qtr1'!I9</f>
        <v>5979</v>
      </c>
      <c r="C48" s="540">
        <v>8765</v>
      </c>
      <c r="D48" s="541"/>
      <c r="E48" s="561"/>
      <c r="F48" s="531"/>
      <c r="G48" s="536">
        <f>'cpl-qtr1'!I29</f>
        <v>3265</v>
      </c>
      <c r="H48" s="539">
        <v>3855</v>
      </c>
      <c r="I48" s="539"/>
      <c r="J48" s="561"/>
      <c r="K48" s="23"/>
      <c r="L48" s="123" t="s">
        <v>153</v>
      </c>
      <c r="M48" s="23"/>
      <c r="N48" s="139"/>
    </row>
    <row r="49" spans="1:14" ht="11.25">
      <c r="A49" s="588" t="s">
        <v>953</v>
      </c>
      <c r="B49" s="536">
        <f>'cpl-qtr2'!H10</f>
        <v>4857</v>
      </c>
      <c r="C49" s="540">
        <f>'cpl-qtr(b)'!H8-8765</f>
        <v>8765</v>
      </c>
      <c r="D49" s="541"/>
      <c r="E49" s="561"/>
      <c r="F49" s="531"/>
      <c r="G49" s="536">
        <f>3795-3265</f>
        <v>530</v>
      </c>
      <c r="H49" s="539">
        <f>'cpl-qtr(b)'!H26-3855</f>
        <v>842</v>
      </c>
      <c r="I49" s="539"/>
      <c r="J49" s="561"/>
      <c r="K49" s="23"/>
      <c r="L49" s="123" t="s">
        <v>154</v>
      </c>
      <c r="M49" s="23"/>
      <c r="N49" s="139"/>
    </row>
    <row r="50" spans="1:14" ht="11.25">
      <c r="A50" s="588" t="s">
        <v>875</v>
      </c>
      <c r="B50" s="536">
        <v>0</v>
      </c>
      <c r="C50" s="540">
        <v>0</v>
      </c>
      <c r="D50" s="541"/>
      <c r="E50" s="561"/>
      <c r="F50" s="531"/>
      <c r="G50" s="536">
        <v>0</v>
      </c>
      <c r="H50" s="539">
        <v>0</v>
      </c>
      <c r="I50" s="539"/>
      <c r="J50" s="561"/>
      <c r="K50" s="23"/>
      <c r="L50" s="123" t="s">
        <v>155</v>
      </c>
      <c r="M50" s="23"/>
      <c r="N50" s="139"/>
    </row>
    <row r="51" spans="1:14" ht="11.25">
      <c r="A51" s="588" t="s">
        <v>965</v>
      </c>
      <c r="B51" s="536">
        <v>0</v>
      </c>
      <c r="C51" s="540">
        <v>0</v>
      </c>
      <c r="D51" s="541"/>
      <c r="E51" s="561"/>
      <c r="F51" s="531"/>
      <c r="G51" s="536">
        <v>0</v>
      </c>
      <c r="H51" s="539">
        <v>0</v>
      </c>
      <c r="I51" s="539"/>
      <c r="J51" s="561"/>
      <c r="K51" s="23"/>
      <c r="L51" s="123" t="s">
        <v>157</v>
      </c>
      <c r="M51" s="23"/>
      <c r="N51" s="139"/>
    </row>
    <row r="52" spans="1:14" ht="11.25">
      <c r="A52" s="588"/>
      <c r="B52" s="532">
        <f>SUM(B48:B51)</f>
        <v>10836</v>
      </c>
      <c r="C52" s="548">
        <f>SUM(C48:C51)</f>
        <v>17530</v>
      </c>
      <c r="D52" s="535">
        <f>B52-C52</f>
        <v>-6694</v>
      </c>
      <c r="E52" s="559">
        <f>B52/C52</f>
        <v>0.6181403308613805</v>
      </c>
      <c r="F52" s="531"/>
      <c r="G52" s="532">
        <f>SUM(G48:G51)</f>
        <v>3795</v>
      </c>
      <c r="H52" s="535">
        <f>SUM(H48:H51)</f>
        <v>4697</v>
      </c>
      <c r="I52" s="535">
        <f>G52-H52</f>
        <v>-902</v>
      </c>
      <c r="J52" s="559">
        <f>G52/H52</f>
        <v>0.8079625292740047</v>
      </c>
      <c r="K52" s="23"/>
      <c r="L52" s="123" t="s">
        <v>156</v>
      </c>
      <c r="M52" s="23"/>
      <c r="N52" s="139"/>
    </row>
    <row r="53" spans="1:14" ht="11.25">
      <c r="A53" s="588"/>
      <c r="B53" s="536"/>
      <c r="C53" s="540"/>
      <c r="D53" s="539"/>
      <c r="E53" s="538"/>
      <c r="F53" s="531"/>
      <c r="G53" s="536"/>
      <c r="H53" s="539"/>
      <c r="I53" s="539"/>
      <c r="J53" s="560"/>
      <c r="K53" s="23"/>
      <c r="L53" s="123"/>
      <c r="M53" s="23"/>
      <c r="N53" s="139"/>
    </row>
    <row r="54" spans="1:14" ht="11.25">
      <c r="A54" s="588" t="s">
        <v>925</v>
      </c>
      <c r="B54" s="536"/>
      <c r="C54" s="540"/>
      <c r="D54" s="539"/>
      <c r="E54" s="538"/>
      <c r="F54" s="531"/>
      <c r="G54" s="536"/>
      <c r="H54" s="539"/>
      <c r="I54" s="539"/>
      <c r="J54" s="560"/>
      <c r="K54" s="23"/>
      <c r="L54" s="123" t="s">
        <v>975</v>
      </c>
      <c r="M54" s="23"/>
      <c r="N54" s="139"/>
    </row>
    <row r="55" spans="1:14" ht="11.25">
      <c r="A55" s="588" t="s">
        <v>926</v>
      </c>
      <c r="B55" s="549">
        <v>0</v>
      </c>
      <c r="C55" s="521">
        <v>0</v>
      </c>
      <c r="D55" s="522"/>
      <c r="E55" s="523"/>
      <c r="F55" s="531"/>
      <c r="G55" s="536">
        <v>-84</v>
      </c>
      <c r="H55" s="539">
        <f>-'cpl-qtr(b)'!O20</f>
        <v>0</v>
      </c>
      <c r="I55" s="539">
        <f>G55-H55</f>
        <v>-84</v>
      </c>
      <c r="J55" s="561"/>
      <c r="K55" s="23"/>
      <c r="L55" s="123"/>
      <c r="M55" s="23"/>
      <c r="N55" s="139"/>
    </row>
    <row r="56" spans="1:14" ht="11.25">
      <c r="A56" s="588"/>
      <c r="B56" s="536"/>
      <c r="C56" s="546"/>
      <c r="D56" s="541"/>
      <c r="E56" s="523"/>
      <c r="F56" s="531"/>
      <c r="G56" s="536"/>
      <c r="H56" s="539"/>
      <c r="I56" s="537"/>
      <c r="J56" s="561"/>
      <c r="K56" s="23"/>
      <c r="L56" s="123"/>
      <c r="M56" s="23"/>
      <c r="N56" s="139"/>
    </row>
    <row r="57" spans="1:14" ht="11.25">
      <c r="A57" s="588" t="s">
        <v>725</v>
      </c>
      <c r="B57" s="536">
        <f>'cpl-2date'!I10+'cpl-2date'!J10+'cpl-2date'!K10</f>
        <v>0</v>
      </c>
      <c r="C57" s="546">
        <v>0</v>
      </c>
      <c r="D57" s="541"/>
      <c r="E57" s="523"/>
      <c r="F57" s="531"/>
      <c r="G57" s="536">
        <f>'cpl-2date'!I32+'cpl-2date'!J32+'cpl-2date'!K32</f>
        <v>29</v>
      </c>
      <c r="H57" s="539">
        <f>'cpl-qtr(b)'!I40+'cpl-qtr(b)'!J40+'cpl-qtr(b)'!K40</f>
        <v>0</v>
      </c>
      <c r="I57" s="539">
        <f>G57-H57</f>
        <v>29</v>
      </c>
      <c r="J57" s="323"/>
      <c r="K57" s="23"/>
      <c r="L57" s="123"/>
      <c r="M57" s="23"/>
      <c r="N57" s="139"/>
    </row>
    <row r="58" spans="1:14" ht="11.25">
      <c r="A58" s="589"/>
      <c r="B58" s="536"/>
      <c r="C58" s="522"/>
      <c r="D58" s="541"/>
      <c r="E58" s="523"/>
      <c r="F58" s="531"/>
      <c r="G58" s="536"/>
      <c r="H58" s="537"/>
      <c r="I58" s="537"/>
      <c r="J58" s="323"/>
      <c r="K58" s="23"/>
      <c r="L58" s="123"/>
      <c r="M58" s="23"/>
      <c r="N58" s="139"/>
    </row>
    <row r="59" spans="1:14" ht="11.25">
      <c r="A59" s="589" t="s">
        <v>785</v>
      </c>
      <c r="B59" s="536"/>
      <c r="C59" s="539"/>
      <c r="D59" s="541"/>
      <c r="E59" s="523"/>
      <c r="F59" s="531"/>
      <c r="G59" s="550"/>
      <c r="H59" s="551"/>
      <c r="I59" s="537"/>
      <c r="J59" s="323"/>
      <c r="K59" s="23"/>
      <c r="L59" s="123"/>
      <c r="M59" s="23"/>
      <c r="N59" s="139"/>
    </row>
    <row r="60" spans="1:14" ht="11.25">
      <c r="A60" s="588" t="s">
        <v>966</v>
      </c>
      <c r="B60" s="536"/>
      <c r="C60" s="539"/>
      <c r="D60" s="541"/>
      <c r="E60" s="523"/>
      <c r="F60" s="531"/>
      <c r="G60" s="550">
        <v>0</v>
      </c>
      <c r="H60" s="551">
        <f>-'cpl-qtr(b)'!O24</f>
        <v>0</v>
      </c>
      <c r="I60" s="539">
        <f>G60-H60</f>
        <v>0</v>
      </c>
      <c r="J60" s="323"/>
      <c r="K60" s="23"/>
      <c r="L60" s="123"/>
      <c r="M60" s="23"/>
      <c r="N60" s="139"/>
    </row>
    <row r="61" spans="1:14" ht="11.25">
      <c r="A61" s="588" t="s">
        <v>850</v>
      </c>
      <c r="B61" s="552"/>
      <c r="C61" s="546"/>
      <c r="D61" s="541"/>
      <c r="E61" s="523"/>
      <c r="F61" s="531"/>
      <c r="G61" s="553">
        <f>-'cpl-2date'!M24</f>
        <v>-1083</v>
      </c>
      <c r="H61" s="554">
        <v>-1082</v>
      </c>
      <c r="I61" s="539">
        <f>G61-H61</f>
        <v>-1</v>
      </c>
      <c r="J61" s="561"/>
      <c r="K61" s="23"/>
      <c r="L61" s="123"/>
      <c r="M61" s="23"/>
      <c r="N61" s="139"/>
    </row>
    <row r="62" spans="1:14" ht="12" thickBot="1">
      <c r="A62" s="588" t="s">
        <v>967</v>
      </c>
      <c r="B62" s="552">
        <v>-694</v>
      </c>
      <c r="C62" s="546"/>
      <c r="D62" s="541"/>
      <c r="E62" s="523"/>
      <c r="F62" s="531"/>
      <c r="G62" s="555">
        <f>-694+30</f>
        <v>-664</v>
      </c>
      <c r="H62" s="551">
        <v>0</v>
      </c>
      <c r="I62" s="539">
        <f>G62-H62</f>
        <v>-664</v>
      </c>
      <c r="J62" s="561"/>
      <c r="K62" s="23"/>
      <c r="L62" s="123"/>
      <c r="M62" s="23"/>
      <c r="N62" s="139"/>
    </row>
    <row r="63" spans="1:14" ht="12" thickBot="1">
      <c r="A63" s="365" t="s">
        <v>105</v>
      </c>
      <c r="B63" s="556">
        <f>B17+B24+B31+B38+B45+B52+SUM(B54:B62)</f>
        <v>73834</v>
      </c>
      <c r="C63" s="556">
        <f>C17+C24+C31+C38+C45+C52+SUM(C54:C62)</f>
        <v>103158</v>
      </c>
      <c r="D63" s="556">
        <f>B63-C63</f>
        <v>-29324</v>
      </c>
      <c r="E63" s="171">
        <f>B63/C63</f>
        <v>0.715737024758138</v>
      </c>
      <c r="F63" s="531"/>
      <c r="G63" s="557">
        <f>G17+G24+G31+G38+G45+G52+SUM(G55:G62)</f>
        <v>7927</v>
      </c>
      <c r="H63" s="557">
        <f>H17+H24+H31+H38+H45+H52+SUM(H55:H62)</f>
        <v>10132</v>
      </c>
      <c r="I63" s="558">
        <f>SUM(I17:I61)</f>
        <v>-1541</v>
      </c>
      <c r="J63" s="172">
        <f>G63/H63</f>
        <v>0.7823726806158705</v>
      </c>
      <c r="K63" s="23"/>
      <c r="L63" s="141"/>
      <c r="M63" s="142"/>
      <c r="N63" s="145"/>
    </row>
    <row r="64" ht="12.75"/>
    <row r="65" ht="12.75"/>
    <row r="66" ht="15.75">
      <c r="N66" s="165"/>
    </row>
    <row r="67" ht="12.75">
      <c r="I67" s="166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mergeCells count="3">
    <mergeCell ref="B5:E5"/>
    <mergeCell ref="G5:J5"/>
    <mergeCell ref="L5:N5"/>
  </mergeCells>
  <printOptions/>
  <pageMargins left="0.75" right="0.21" top="0.48" bottom="0.29" header="0.41" footer="0.29"/>
  <pageSetup horizontalDpi="600" verticalDpi="600" orientation="landscape" scale="75" r:id="rId1"/>
  <headerFooter alignWithMargins="0">
    <oddFooter>&amp;R&amp;8shsm/&amp;F&amp;D&amp;T
&amp;"Arial,Bold"&amp;12 3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73">
      <selection activeCell="F88" sqref="F88"/>
    </sheetView>
  </sheetViews>
  <sheetFormatPr defaultColWidth="9.140625" defaultRowHeight="12.75"/>
  <cols>
    <col min="1" max="1" width="18.8515625" style="174" customWidth="1"/>
    <col min="2" max="5" width="11.7109375" style="174" customWidth="1"/>
    <col min="6" max="6" width="13.57421875" style="174" customWidth="1"/>
    <col min="7" max="7" width="3.421875" style="174" customWidth="1"/>
    <col min="8" max="10" width="9.140625" style="174" customWidth="1"/>
    <col min="11" max="11" width="9.7109375" style="174" customWidth="1"/>
    <col min="12" max="16384" width="9.140625" style="174" customWidth="1"/>
  </cols>
  <sheetData>
    <row r="1" spans="1:7" ht="15">
      <c r="A1" s="173" t="s">
        <v>745</v>
      </c>
      <c r="G1" s="175"/>
    </row>
    <row r="2" spans="1:7" ht="15">
      <c r="A2" s="173" t="s">
        <v>611</v>
      </c>
      <c r="G2" s="175"/>
    </row>
    <row r="3" spans="1:11" ht="15">
      <c r="A3" s="173" t="s">
        <v>851</v>
      </c>
      <c r="G3" s="175"/>
      <c r="K3" s="176"/>
    </row>
    <row r="4" spans="1:11" ht="15">
      <c r="A4" s="173"/>
      <c r="G4" s="175"/>
      <c r="K4" s="176"/>
    </row>
    <row r="5" ht="15.75" thickBot="1">
      <c r="G5" s="175"/>
    </row>
    <row r="6" spans="2:7" ht="15">
      <c r="B6" s="592" t="s">
        <v>612</v>
      </c>
      <c r="C6" s="593"/>
      <c r="D6" s="593"/>
      <c r="E6" s="593"/>
      <c r="F6" s="594"/>
      <c r="G6" s="177"/>
    </row>
    <row r="7" spans="1:7" ht="15">
      <c r="A7" s="178"/>
      <c r="B7" s="595" t="s">
        <v>661</v>
      </c>
      <c r="C7" s="596"/>
      <c r="D7" s="597" t="s">
        <v>662</v>
      </c>
      <c r="E7" s="596"/>
      <c r="F7" s="179" t="s">
        <v>751</v>
      </c>
      <c r="G7" s="175"/>
    </row>
    <row r="8" spans="1:7" ht="15">
      <c r="A8" s="180" t="s">
        <v>96</v>
      </c>
      <c r="B8" s="181" t="s">
        <v>1067</v>
      </c>
      <c r="C8" s="208"/>
      <c r="D8" s="182" t="s">
        <v>1067</v>
      </c>
      <c r="E8" s="351"/>
      <c r="F8" s="347" t="s">
        <v>749</v>
      </c>
      <c r="G8" s="175"/>
    </row>
    <row r="9" spans="1:7" ht="15.75" thickBot="1">
      <c r="A9" s="185"/>
      <c r="B9" s="186" t="s">
        <v>747</v>
      </c>
      <c r="C9" s="187" t="s">
        <v>664</v>
      </c>
      <c r="D9" s="188" t="s">
        <v>402</v>
      </c>
      <c r="E9" s="187" t="s">
        <v>664</v>
      </c>
      <c r="F9" s="348" t="s">
        <v>664</v>
      </c>
      <c r="G9" s="175"/>
    </row>
    <row r="10" spans="1:7" ht="15">
      <c r="A10" s="183"/>
      <c r="B10" s="190"/>
      <c r="C10" s="191"/>
      <c r="D10" s="207"/>
      <c r="E10" s="207"/>
      <c r="F10" s="349"/>
      <c r="G10" s="175"/>
    </row>
    <row r="11" spans="1:7" ht="15">
      <c r="A11" s="587" t="s">
        <v>107</v>
      </c>
      <c r="B11" s="236">
        <f>'to &amp; pbt'!B17</f>
        <v>1780</v>
      </c>
      <c r="C11" s="285">
        <f>B11/B23*100</f>
        <v>2.388364104765994</v>
      </c>
      <c r="D11" s="238">
        <f>'to &amp; pbt'!C17</f>
        <v>1087</v>
      </c>
      <c r="E11" s="345">
        <f>D11/D23*100</f>
        <v>1.0537234145679444</v>
      </c>
      <c r="F11" s="350">
        <f>B11/D11*100</f>
        <v>163.75344986200554</v>
      </c>
      <c r="G11" s="175"/>
    </row>
    <row r="12" spans="1:7" ht="15">
      <c r="A12" s="587"/>
      <c r="B12" s="236"/>
      <c r="C12" s="285"/>
      <c r="D12" s="238"/>
      <c r="E12" s="345"/>
      <c r="F12" s="294"/>
      <c r="G12" s="175"/>
    </row>
    <row r="13" spans="1:7" ht="15">
      <c r="A13" s="587" t="s">
        <v>724</v>
      </c>
      <c r="B13" s="236">
        <f>'to &amp; pbt'!B24</f>
        <v>9481</v>
      </c>
      <c r="C13" s="285">
        <f>B13/B23*100</f>
        <v>12.721393301846287</v>
      </c>
      <c r="D13" s="238">
        <f>'to &amp; pbt'!C24</f>
        <v>26185</v>
      </c>
      <c r="E13" s="345">
        <f>D13/D23*100</f>
        <v>25.383392465926057</v>
      </c>
      <c r="F13" s="350">
        <f>B13/D13*100</f>
        <v>36.20775253007447</v>
      </c>
      <c r="G13" s="175"/>
    </row>
    <row r="14" spans="1:7" ht="15">
      <c r="A14" s="587"/>
      <c r="B14" s="236"/>
      <c r="C14" s="285"/>
      <c r="D14" s="238"/>
      <c r="E14" s="345"/>
      <c r="F14" s="294"/>
      <c r="G14" s="175"/>
    </row>
    <row r="15" spans="1:7" ht="15">
      <c r="A15" s="587" t="s">
        <v>98</v>
      </c>
      <c r="B15" s="236">
        <f>'to &amp; pbt'!B31</f>
        <v>44053</v>
      </c>
      <c r="C15" s="285">
        <f>B15/B23*100</f>
        <v>59.10932803778446</v>
      </c>
      <c r="D15" s="238">
        <f>'to &amp; pbt'!C31</f>
        <v>50578</v>
      </c>
      <c r="E15" s="345">
        <f>D15/D23*100</f>
        <v>49.0296438473022</v>
      </c>
      <c r="F15" s="350">
        <f>B15/D15*100</f>
        <v>87.09913401083476</v>
      </c>
      <c r="G15" s="175"/>
    </row>
    <row r="16" spans="1:7" ht="15">
      <c r="A16" s="183"/>
      <c r="B16" s="236"/>
      <c r="C16" s="285"/>
      <c r="D16" s="238"/>
      <c r="E16" s="345"/>
      <c r="F16" s="294"/>
      <c r="G16" s="175"/>
    </row>
    <row r="17" spans="1:7" ht="15">
      <c r="A17" s="183" t="s">
        <v>524</v>
      </c>
      <c r="B17" s="236">
        <f>'to &amp; pbt'!B38</f>
        <v>0</v>
      </c>
      <c r="C17" s="285">
        <f>B17/B23*100</f>
        <v>0</v>
      </c>
      <c r="D17" s="238">
        <f>'to &amp; pbt'!C38</f>
        <v>0</v>
      </c>
      <c r="E17" s="345">
        <f>D17/D23*100</f>
        <v>0</v>
      </c>
      <c r="F17" s="350">
        <v>0</v>
      </c>
      <c r="G17" s="175"/>
    </row>
    <row r="18" spans="1:7" ht="15">
      <c r="A18" s="183"/>
      <c r="B18" s="236"/>
      <c r="C18" s="285"/>
      <c r="D18" s="238"/>
      <c r="E18" s="345"/>
      <c r="F18" s="294"/>
      <c r="G18" s="175"/>
    </row>
    <row r="19" spans="1:7" ht="15">
      <c r="A19" s="587" t="s">
        <v>100</v>
      </c>
      <c r="B19" s="236">
        <f>'to &amp; pbt'!B45</f>
        <v>8378</v>
      </c>
      <c r="C19" s="285">
        <f>B19/B23*100</f>
        <v>11.241412623443537</v>
      </c>
      <c r="D19" s="238">
        <f>'to &amp; pbt'!C45</f>
        <v>7778</v>
      </c>
      <c r="E19" s="352">
        <f>D19/D23*100</f>
        <v>7.539890265418096</v>
      </c>
      <c r="F19" s="350">
        <f>B19/D19*100</f>
        <v>107.71406531241965</v>
      </c>
      <c r="G19" s="175"/>
    </row>
    <row r="20" spans="1:7" ht="15">
      <c r="A20" s="587"/>
      <c r="B20" s="236"/>
      <c r="C20" s="285"/>
      <c r="D20" s="238"/>
      <c r="E20" s="345"/>
      <c r="F20" s="294"/>
      <c r="G20" s="175"/>
    </row>
    <row r="21" spans="1:7" ht="15">
      <c r="A21" s="587" t="s">
        <v>101</v>
      </c>
      <c r="B21" s="236">
        <f>'to &amp; pbt'!B52</f>
        <v>10836</v>
      </c>
      <c r="C21" s="285">
        <f>B21/B23*100</f>
        <v>14.539501932159727</v>
      </c>
      <c r="D21" s="238">
        <f>'to &amp; pbt'!C52</f>
        <v>17530</v>
      </c>
      <c r="E21" s="345">
        <f>D21/D23*100</f>
        <v>16.993350006785708</v>
      </c>
      <c r="F21" s="350">
        <f>B21/D21*100</f>
        <v>61.81403308613805</v>
      </c>
      <c r="G21" s="175"/>
    </row>
    <row r="22" spans="1:7" ht="15">
      <c r="A22" s="183"/>
      <c r="B22" s="241"/>
      <c r="C22" s="295"/>
      <c r="D22" s="243"/>
      <c r="E22" s="353"/>
      <c r="F22" s="346"/>
      <c r="G22" s="175"/>
    </row>
    <row r="23" spans="1:7" ht="15">
      <c r="A23" s="183"/>
      <c r="B23" s="236">
        <f>SUM(B11:B22)</f>
        <v>74528</v>
      </c>
      <c r="C23" s="296">
        <f>SUM(C11:C22)</f>
        <v>100</v>
      </c>
      <c r="D23" s="238">
        <f>SUM(D11:D22)</f>
        <v>103158</v>
      </c>
      <c r="E23" s="299">
        <f>SUM(E11:E21)</f>
        <v>100</v>
      </c>
      <c r="F23" s="350">
        <f>B23/D23*100</f>
        <v>72.24645689137051</v>
      </c>
      <c r="G23" s="175"/>
    </row>
    <row r="24" spans="1:7" ht="15">
      <c r="A24" s="183"/>
      <c r="B24" s="236"/>
      <c r="C24" s="285"/>
      <c r="D24" s="238"/>
      <c r="E24" s="345"/>
      <c r="F24" s="294"/>
      <c r="G24" s="175"/>
    </row>
    <row r="25" spans="1:7" ht="15">
      <c r="A25" s="183" t="s">
        <v>786</v>
      </c>
      <c r="B25" s="236">
        <v>-694</v>
      </c>
      <c r="C25" s="285">
        <v>0</v>
      </c>
      <c r="D25" s="238">
        <v>0</v>
      </c>
      <c r="E25" s="345">
        <v>0</v>
      </c>
      <c r="F25" s="343">
        <v>0</v>
      </c>
      <c r="G25" s="175"/>
    </row>
    <row r="26" spans="1:7" ht="15.75" thickBot="1">
      <c r="A26" s="183"/>
      <c r="B26" s="236"/>
      <c r="C26" s="285"/>
      <c r="D26" s="239"/>
      <c r="E26" s="289"/>
      <c r="F26" s="294"/>
      <c r="G26" s="175"/>
    </row>
    <row r="27" spans="1:7" ht="15.75" thickBot="1">
      <c r="A27" s="202"/>
      <c r="B27" s="237">
        <f>SUM(B23:B25)</f>
        <v>73834</v>
      </c>
      <c r="C27" s="286">
        <v>0</v>
      </c>
      <c r="D27" s="240">
        <f>SUM(D23:D26)</f>
        <v>103158</v>
      </c>
      <c r="E27" s="290">
        <v>0</v>
      </c>
      <c r="F27" s="329">
        <f>B27/D27*100</f>
        <v>71.5737024758138</v>
      </c>
      <c r="G27" s="175"/>
    </row>
    <row r="28" spans="2:4" ht="15">
      <c r="B28" s="216" t="s">
        <v>396</v>
      </c>
      <c r="D28" s="216" t="s">
        <v>402</v>
      </c>
    </row>
    <row r="29" ht="15.75" thickBot="1"/>
    <row r="30" spans="2:6" ht="15">
      <c r="B30" s="592" t="s">
        <v>750</v>
      </c>
      <c r="C30" s="593"/>
      <c r="D30" s="593"/>
      <c r="E30" s="593"/>
      <c r="F30" s="594"/>
    </row>
    <row r="31" spans="1:6" ht="15">
      <c r="A31" s="178"/>
      <c r="B31" s="595" t="s">
        <v>661</v>
      </c>
      <c r="C31" s="596"/>
      <c r="D31" s="597" t="s">
        <v>662</v>
      </c>
      <c r="E31" s="596"/>
      <c r="F31" s="179" t="s">
        <v>751</v>
      </c>
    </row>
    <row r="32" spans="1:6" ht="15">
      <c r="A32" s="180" t="s">
        <v>96</v>
      </c>
      <c r="B32" s="181" t="s">
        <v>1067</v>
      </c>
      <c r="C32" s="208"/>
      <c r="D32" s="182" t="s">
        <v>1067</v>
      </c>
      <c r="E32" s="183"/>
      <c r="F32" s="179" t="s">
        <v>749</v>
      </c>
    </row>
    <row r="33" spans="1:6" ht="15.75" thickBot="1">
      <c r="A33" s="185"/>
      <c r="B33" s="186" t="s">
        <v>747</v>
      </c>
      <c r="C33" s="187" t="s">
        <v>664</v>
      </c>
      <c r="D33" s="188" t="s">
        <v>402</v>
      </c>
      <c r="E33" s="188" t="s">
        <v>664</v>
      </c>
      <c r="F33" s="189" t="s">
        <v>664</v>
      </c>
    </row>
    <row r="34" spans="1:6" ht="15">
      <c r="A34" s="183"/>
      <c r="B34" s="190"/>
      <c r="C34" s="191"/>
      <c r="D34" s="192"/>
      <c r="E34" s="192"/>
      <c r="F34" s="321"/>
    </row>
    <row r="35" spans="1:6" ht="15">
      <c r="A35" s="587" t="s">
        <v>107</v>
      </c>
      <c r="B35" s="236">
        <v>1390</v>
      </c>
      <c r="C35" s="285">
        <f>B35/B49*100</f>
        <v>14.244722279155564</v>
      </c>
      <c r="D35" s="242">
        <f>'to &amp; pbt'!H17</f>
        <v>565</v>
      </c>
      <c r="E35" s="297">
        <f>D35/D49*100</f>
        <v>5.038344925985375</v>
      </c>
      <c r="F35" s="291">
        <f>B35/D35*100</f>
        <v>246.01769911504422</v>
      </c>
    </row>
    <row r="36" spans="1:6" ht="15">
      <c r="A36" s="587"/>
      <c r="B36" s="236"/>
      <c r="C36" s="285"/>
      <c r="D36" s="242"/>
      <c r="E36" s="297"/>
      <c r="F36" s="292"/>
    </row>
    <row r="37" spans="1:6" ht="15">
      <c r="A37" s="587" t="s">
        <v>724</v>
      </c>
      <c r="B37" s="236">
        <f>'to &amp; pbt'!G24</f>
        <v>1923</v>
      </c>
      <c r="C37" s="285">
        <f>B37/B49*100</f>
        <v>19.706907153105142</v>
      </c>
      <c r="D37" s="242">
        <f>'to &amp; pbt'!H24</f>
        <v>4539</v>
      </c>
      <c r="E37" s="297">
        <f>D37/D49*100</f>
        <v>40.476190476190474</v>
      </c>
      <c r="F37" s="291">
        <f>B37/D37*100</f>
        <v>42.36615994712491</v>
      </c>
    </row>
    <row r="38" spans="1:6" ht="15">
      <c r="A38" s="587"/>
      <c r="B38" s="236"/>
      <c r="C38" s="285"/>
      <c r="D38" s="238"/>
      <c r="E38" s="287"/>
      <c r="F38" s="292"/>
    </row>
    <row r="39" spans="1:6" ht="15">
      <c r="A39" s="587" t="s">
        <v>98</v>
      </c>
      <c r="B39" s="236">
        <f>'to &amp; pbt'!G31</f>
        <v>1889</v>
      </c>
      <c r="C39" s="285">
        <f>B39/B49*100</f>
        <v>19.358475097356013</v>
      </c>
      <c r="D39" s="238">
        <v>831</v>
      </c>
      <c r="E39" s="287">
        <f>D39/D49*100</f>
        <v>7.410379882289994</v>
      </c>
      <c r="F39" s="291">
        <f>B39/D39*100</f>
        <v>227.3164861612515</v>
      </c>
    </row>
    <row r="40" spans="1:6" ht="15">
      <c r="A40" s="587"/>
      <c r="B40" s="236"/>
      <c r="C40" s="285"/>
      <c r="D40" s="238"/>
      <c r="E40" s="287"/>
      <c r="F40" s="475"/>
    </row>
    <row r="41" spans="1:6" ht="15">
      <c r="A41" s="587" t="s">
        <v>24</v>
      </c>
      <c r="B41" s="236">
        <v>17</v>
      </c>
      <c r="C41" s="285">
        <f>B41/B49*100</f>
        <v>0.17421602787456447</v>
      </c>
      <c r="D41" s="238">
        <f>'to &amp; pbt'!H38</f>
        <v>0</v>
      </c>
      <c r="E41" s="287">
        <f>D41/D49*100</f>
        <v>0</v>
      </c>
      <c r="F41" s="291">
        <v>0</v>
      </c>
    </row>
    <row r="42" spans="1:6" ht="15">
      <c r="A42" s="587"/>
      <c r="B42" s="236"/>
      <c r="C42" s="285"/>
      <c r="D42" s="238"/>
      <c r="E42" s="287"/>
      <c r="F42" s="292"/>
    </row>
    <row r="43" spans="1:6" ht="15">
      <c r="A43" s="587" t="s">
        <v>100</v>
      </c>
      <c r="B43" s="236">
        <f>'to &amp; pbt'!G45</f>
        <v>715</v>
      </c>
      <c r="C43" s="285">
        <f>B43/B49*100</f>
        <v>7.327321172371387</v>
      </c>
      <c r="D43" s="238">
        <f>'to &amp; pbt'!H45</f>
        <v>582</v>
      </c>
      <c r="E43" s="288">
        <f>D43/D49*100</f>
        <v>5.1899411449973245</v>
      </c>
      <c r="F43" s="291">
        <f>B43/D43*100</f>
        <v>122.85223367697596</v>
      </c>
    </row>
    <row r="44" spans="1:6" ht="15">
      <c r="A44" s="587"/>
      <c r="B44" s="236"/>
      <c r="C44" s="285"/>
      <c r="D44" s="238"/>
      <c r="E44" s="287"/>
      <c r="F44" s="475"/>
    </row>
    <row r="45" spans="1:6" ht="15">
      <c r="A45" s="587" t="s">
        <v>101</v>
      </c>
      <c r="B45" s="236">
        <f>'to &amp; pbt'!G52</f>
        <v>3795</v>
      </c>
      <c r="C45" s="285">
        <f>B45/B49*100</f>
        <v>38.89116622258659</v>
      </c>
      <c r="D45" s="238">
        <f>'to &amp; pbt'!H52</f>
        <v>4697</v>
      </c>
      <c r="E45" s="287">
        <f>D45/D49*100</f>
        <v>41.88514357053683</v>
      </c>
      <c r="F45" s="291">
        <f>B45/D45*100</f>
        <v>80.79625292740047</v>
      </c>
    </row>
    <row r="46" spans="1:6" ht="15">
      <c r="A46" s="587"/>
      <c r="B46" s="236"/>
      <c r="C46" s="285"/>
      <c r="D46" s="238"/>
      <c r="E46" s="287"/>
      <c r="F46" s="292"/>
    </row>
    <row r="47" spans="1:6" ht="15">
      <c r="A47" s="587" t="s">
        <v>948</v>
      </c>
      <c r="B47" s="236">
        <f>-2-42+73</f>
        <v>29</v>
      </c>
      <c r="C47" s="285">
        <f>B47/B49*100</f>
        <v>0.29719204755072764</v>
      </c>
      <c r="D47" s="238">
        <f>'cpl-qtr(b)'!I26+'cpl-qtr(b)'!J26+'cpl-qtr(b)'!K26</f>
        <v>0</v>
      </c>
      <c r="E47" s="287">
        <v>0</v>
      </c>
      <c r="F47" s="291">
        <v>0</v>
      </c>
    </row>
    <row r="48" spans="1:6" ht="15">
      <c r="A48" s="587" t="s">
        <v>949</v>
      </c>
      <c r="B48" s="241"/>
      <c r="C48" s="295"/>
      <c r="D48" s="243"/>
      <c r="E48" s="298"/>
      <c r="F48" s="322"/>
    </row>
    <row r="49" spans="1:6" ht="15">
      <c r="A49" s="587"/>
      <c r="B49" s="236">
        <f>SUM(B35:B47)</f>
        <v>9758</v>
      </c>
      <c r="C49" s="296">
        <f>SUM(C35:C47)</f>
        <v>99.99999999999999</v>
      </c>
      <c r="D49" s="238">
        <f>SUM(D35:D47)</f>
        <v>11214</v>
      </c>
      <c r="E49" s="299">
        <f>SUM(E35:E45)</f>
        <v>100</v>
      </c>
      <c r="F49" s="292">
        <f>B49/D49*100</f>
        <v>87.01622971285893</v>
      </c>
    </row>
    <row r="50" spans="1:6" ht="15">
      <c r="A50" s="183" t="s">
        <v>917</v>
      </c>
      <c r="B50" s="236">
        <f>-varqtr!E23</f>
        <v>-84</v>
      </c>
      <c r="C50" s="194"/>
      <c r="D50" s="238">
        <f>-'cpl-qtr(b)'!O20</f>
        <v>0</v>
      </c>
      <c r="E50" s="198"/>
      <c r="F50" s="292"/>
    </row>
    <row r="51" spans="1:6" ht="15">
      <c r="A51" s="183" t="s">
        <v>918</v>
      </c>
      <c r="B51" s="236">
        <f>-'cpl-2date'!M24</f>
        <v>-1083</v>
      </c>
      <c r="C51" s="194"/>
      <c r="D51" s="238">
        <f>-'cpl-qtr(b)'!M18</f>
        <v>-1082</v>
      </c>
      <c r="E51" s="198"/>
      <c r="F51" s="292"/>
    </row>
    <row r="52" spans="1:6" ht="15">
      <c r="A52" s="183" t="s">
        <v>919</v>
      </c>
      <c r="B52" s="236">
        <v>30</v>
      </c>
      <c r="C52" s="201"/>
      <c r="D52" s="238">
        <v>0</v>
      </c>
      <c r="E52" s="198"/>
      <c r="F52" s="292"/>
    </row>
    <row r="53" spans="1:6" ht="15">
      <c r="A53" s="183" t="s">
        <v>222</v>
      </c>
      <c r="B53" s="236">
        <v>0</v>
      </c>
      <c r="C53" s="208"/>
      <c r="D53" s="238">
        <v>0</v>
      </c>
      <c r="E53" s="344"/>
      <c r="F53" s="294"/>
    </row>
    <row r="54" spans="1:6" ht="15">
      <c r="A54" s="183" t="s">
        <v>544</v>
      </c>
      <c r="B54" s="236">
        <v>0</v>
      </c>
      <c r="C54" s="208"/>
      <c r="D54" s="238">
        <v>0</v>
      </c>
      <c r="E54" s="344"/>
      <c r="F54" s="294"/>
    </row>
    <row r="55" spans="1:6" ht="15.75" thickBot="1">
      <c r="A55" s="183" t="s">
        <v>221</v>
      </c>
      <c r="B55" s="409">
        <v>-694</v>
      </c>
      <c r="C55" s="208"/>
      <c r="D55" s="238">
        <v>0</v>
      </c>
      <c r="E55" s="344"/>
      <c r="F55" s="294"/>
    </row>
    <row r="56" spans="1:6" ht="15.75" thickBot="1">
      <c r="A56" s="202"/>
      <c r="B56" s="410">
        <f>SUM(B49:B55)</f>
        <v>7927</v>
      </c>
      <c r="C56" s="209">
        <v>0</v>
      </c>
      <c r="D56" s="411">
        <f>SUM(D49:D55)</f>
        <v>10132</v>
      </c>
      <c r="E56" s="412">
        <v>0</v>
      </c>
      <c r="F56" s="329">
        <f>B56/D56*100</f>
        <v>78.23726806158705</v>
      </c>
    </row>
    <row r="57" spans="2:4" ht="15">
      <c r="B57" s="216" t="s">
        <v>396</v>
      </c>
      <c r="C57" s="216"/>
      <c r="D57" s="216" t="s">
        <v>402</v>
      </c>
    </row>
    <row r="58" spans="2:4" ht="15">
      <c r="B58" s="216"/>
      <c r="C58" s="582"/>
      <c r="D58" s="216"/>
    </row>
    <row r="59" ht="15.75" thickBot="1"/>
    <row r="60" spans="2:6" ht="15">
      <c r="B60" s="592" t="s">
        <v>814</v>
      </c>
      <c r="C60" s="593"/>
      <c r="D60" s="593"/>
      <c r="E60" s="593"/>
      <c r="F60" s="594"/>
    </row>
    <row r="61" spans="1:6" ht="15">
      <c r="A61" s="178"/>
      <c r="B61" s="595" t="s">
        <v>661</v>
      </c>
      <c r="C61" s="596"/>
      <c r="D61" s="597" t="s">
        <v>662</v>
      </c>
      <c r="E61" s="596"/>
      <c r="F61" s="179" t="s">
        <v>751</v>
      </c>
    </row>
    <row r="62" spans="1:6" ht="15">
      <c r="A62" s="180" t="s">
        <v>96</v>
      </c>
      <c r="B62" s="181" t="s">
        <v>1067</v>
      </c>
      <c r="C62" s="208"/>
      <c r="D62" s="182" t="s">
        <v>1067</v>
      </c>
      <c r="E62" s="183"/>
      <c r="F62" s="179" t="s">
        <v>749</v>
      </c>
    </row>
    <row r="63" spans="1:6" ht="15.75" thickBot="1">
      <c r="A63" s="185"/>
      <c r="B63" s="186" t="s">
        <v>747</v>
      </c>
      <c r="C63" s="187" t="s">
        <v>664</v>
      </c>
      <c r="D63" s="188" t="s">
        <v>402</v>
      </c>
      <c r="E63" s="188" t="s">
        <v>664</v>
      </c>
      <c r="F63" s="189" t="s">
        <v>664</v>
      </c>
    </row>
    <row r="64" spans="1:6" ht="15">
      <c r="A64" s="183"/>
      <c r="B64" s="190"/>
      <c r="C64" s="191"/>
      <c r="D64" s="192"/>
      <c r="E64" s="192"/>
      <c r="F64" s="321"/>
    </row>
    <row r="65" spans="1:6" ht="15">
      <c r="A65" s="587" t="s">
        <v>107</v>
      </c>
      <c r="B65" s="236">
        <v>1001</v>
      </c>
      <c r="C65" s="285">
        <f>B65/B79*100</f>
        <v>14.768368250221304</v>
      </c>
      <c r="D65" s="242">
        <v>367</v>
      </c>
      <c r="E65" s="297">
        <f>D65/D79*100</f>
        <v>5.356882206977084</v>
      </c>
      <c r="F65" s="291">
        <f>B65/D65*100</f>
        <v>272.75204359673023</v>
      </c>
    </row>
    <row r="66" spans="1:6" ht="15">
      <c r="A66" s="587"/>
      <c r="B66" s="236"/>
      <c r="C66" s="285"/>
      <c r="D66" s="242"/>
      <c r="E66" s="297"/>
      <c r="F66" s="292"/>
    </row>
    <row r="67" spans="1:6" ht="15">
      <c r="A67" s="587" t="s">
        <v>724</v>
      </c>
      <c r="B67" s="236">
        <v>1383</v>
      </c>
      <c r="C67" s="285">
        <f>B67/B79*100</f>
        <v>20.40424904101505</v>
      </c>
      <c r="D67" s="242">
        <v>2950</v>
      </c>
      <c r="E67" s="297">
        <f>D67/D79*100</f>
        <v>43.059407385783096</v>
      </c>
      <c r="F67" s="291">
        <f>B67/D67*100</f>
        <v>46.88135593220339</v>
      </c>
    </row>
    <row r="68" spans="1:6" ht="15">
      <c r="A68" s="587"/>
      <c r="B68" s="236"/>
      <c r="C68" s="285"/>
      <c r="D68" s="238"/>
      <c r="E68" s="287"/>
      <c r="F68" s="292"/>
    </row>
    <row r="69" spans="1:6" ht="15">
      <c r="A69" s="587" t="s">
        <v>98</v>
      </c>
      <c r="B69" s="236">
        <v>1223</v>
      </c>
      <c r="C69" s="285">
        <f>B69/B79*100</f>
        <v>18.043670699321336</v>
      </c>
      <c r="D69" s="238">
        <v>414</v>
      </c>
      <c r="E69" s="287">
        <f>D69/D79*100</f>
        <v>6.04291344329295</v>
      </c>
      <c r="F69" s="291">
        <f>B69/D69*100</f>
        <v>295.41062801932367</v>
      </c>
    </row>
    <row r="70" spans="1:6" ht="15">
      <c r="A70" s="587"/>
      <c r="B70" s="236"/>
      <c r="C70" s="285"/>
      <c r="D70" s="238"/>
      <c r="E70" s="287"/>
      <c r="F70" s="475"/>
    </row>
    <row r="71" spans="1:6" ht="15">
      <c r="A71" s="587" t="s">
        <v>24</v>
      </c>
      <c r="B71" s="236">
        <v>12</v>
      </c>
      <c r="C71" s="285">
        <f>B71/B79*100</f>
        <v>0.17704337562702863</v>
      </c>
      <c r="D71" s="238">
        <v>0</v>
      </c>
      <c r="E71" s="287">
        <f>D71/D79*100</f>
        <v>0</v>
      </c>
      <c r="F71" s="291">
        <v>100</v>
      </c>
    </row>
    <row r="72" spans="1:6" ht="15">
      <c r="A72" s="587"/>
      <c r="B72" s="236"/>
      <c r="C72" s="285"/>
      <c r="D72" s="238"/>
      <c r="E72" s="287"/>
      <c r="F72" s="292"/>
    </row>
    <row r="73" spans="1:6" ht="15">
      <c r="A73" s="587" t="s">
        <v>100</v>
      </c>
      <c r="B73" s="236">
        <v>715</v>
      </c>
      <c r="C73" s="285">
        <f>B73/B79*100</f>
        <v>10.54883446444379</v>
      </c>
      <c r="D73" s="238">
        <v>582</v>
      </c>
      <c r="E73" s="288">
        <f>D73/D79*100</f>
        <v>8.49511020289009</v>
      </c>
      <c r="F73" s="293">
        <f>B73/D73*100</f>
        <v>122.85223367697596</v>
      </c>
    </row>
    <row r="74" spans="1:6" ht="15">
      <c r="A74" s="587"/>
      <c r="B74" s="236"/>
      <c r="C74" s="285"/>
      <c r="D74" s="238"/>
      <c r="E74" s="287"/>
      <c r="F74" s="475"/>
    </row>
    <row r="75" spans="1:6" ht="15">
      <c r="A75" s="587" t="s">
        <v>101</v>
      </c>
      <c r="B75" s="236">
        <v>2436</v>
      </c>
      <c r="C75" s="285">
        <f>B75/B79*100</f>
        <v>35.93980525228681</v>
      </c>
      <c r="D75" s="238">
        <v>2538</v>
      </c>
      <c r="E75" s="287">
        <f>D75/D79*100</f>
        <v>37.04568676105678</v>
      </c>
      <c r="F75" s="292">
        <f>B75/D75*100</f>
        <v>95.98108747044918</v>
      </c>
    </row>
    <row r="76" spans="1:6" ht="15">
      <c r="A76" s="587"/>
      <c r="B76" s="236"/>
      <c r="C76" s="285"/>
      <c r="D76" s="238"/>
      <c r="E76" s="287"/>
      <c r="F76" s="292"/>
    </row>
    <row r="77" spans="1:6" ht="15">
      <c r="A77" s="587" t="s">
        <v>948</v>
      </c>
      <c r="B77" s="236">
        <f>-2-42+52</f>
        <v>8</v>
      </c>
      <c r="C77" s="285">
        <f>B77/B79*100</f>
        <v>0.11802891708468574</v>
      </c>
      <c r="D77" s="238">
        <f>'to &amp; pbt'!H57</f>
        <v>0</v>
      </c>
      <c r="E77" s="287">
        <v>0</v>
      </c>
      <c r="F77" s="292">
        <v>100</v>
      </c>
    </row>
    <row r="78" spans="1:6" ht="15">
      <c r="A78" s="587" t="s">
        <v>949</v>
      </c>
      <c r="B78" s="241"/>
      <c r="C78" s="295"/>
      <c r="D78" s="243"/>
      <c r="E78" s="298"/>
      <c r="F78" s="322"/>
    </row>
    <row r="79" spans="1:6" ht="15">
      <c r="A79" s="183"/>
      <c r="B79" s="236">
        <f>SUM(B65:B78)</f>
        <v>6778</v>
      </c>
      <c r="C79" s="296">
        <f>SUM(C65:C77)</f>
        <v>100.00000000000001</v>
      </c>
      <c r="D79" s="238">
        <f>SUM(D65:D78)</f>
        <v>6851</v>
      </c>
      <c r="E79" s="299">
        <f>SUM(E65:E75)</f>
        <v>100</v>
      </c>
      <c r="F79" s="292">
        <f>B79/D79*100</f>
        <v>98.93446212231791</v>
      </c>
    </row>
    <row r="80" spans="1:6" ht="15">
      <c r="A80" s="183" t="s">
        <v>917</v>
      </c>
      <c r="B80" s="236">
        <v>-84</v>
      </c>
      <c r="C80" s="194"/>
      <c r="D80" s="238">
        <f>-'cpl-qtr(b)'!O50</f>
        <v>0</v>
      </c>
      <c r="E80" s="198"/>
      <c r="F80" s="292"/>
    </row>
    <row r="81" spans="1:6" ht="15">
      <c r="A81" s="183" t="s">
        <v>918</v>
      </c>
      <c r="B81" s="236">
        <v>-1083</v>
      </c>
      <c r="C81" s="194"/>
      <c r="D81" s="238">
        <v>-1082</v>
      </c>
      <c r="E81" s="198"/>
      <c r="F81" s="292"/>
    </row>
    <row r="82" spans="1:6" ht="15">
      <c r="A82" s="183" t="s">
        <v>919</v>
      </c>
      <c r="B82" s="236">
        <v>30</v>
      </c>
      <c r="C82" s="201"/>
      <c r="D82" s="238">
        <v>0</v>
      </c>
      <c r="E82" s="198"/>
      <c r="F82" s="292"/>
    </row>
    <row r="83" spans="1:6" ht="15">
      <c r="A83" s="183" t="s">
        <v>222</v>
      </c>
      <c r="B83" s="236">
        <v>0</v>
      </c>
      <c r="C83" s="208"/>
      <c r="D83" s="238">
        <v>0</v>
      </c>
      <c r="E83" s="344"/>
      <c r="F83" s="294"/>
    </row>
    <row r="84" spans="1:6" ht="15">
      <c r="A84" s="183" t="s">
        <v>544</v>
      </c>
      <c r="B84" s="236">
        <v>0</v>
      </c>
      <c r="C84" s="208"/>
      <c r="D84" s="238">
        <v>0</v>
      </c>
      <c r="E84" s="344"/>
      <c r="F84" s="294"/>
    </row>
    <row r="85" spans="1:6" ht="15.75" thickBot="1">
      <c r="A85" s="183" t="s">
        <v>221</v>
      </c>
      <c r="B85" s="409">
        <v>-694</v>
      </c>
      <c r="C85" s="208"/>
      <c r="D85" s="238">
        <v>0</v>
      </c>
      <c r="E85" s="344"/>
      <c r="F85" s="294"/>
    </row>
    <row r="86" spans="1:9" s="175" customFormat="1" ht="15">
      <c r="A86" s="179"/>
      <c r="B86" s="504">
        <f>SUM(B79:B85)</f>
        <v>4947</v>
      </c>
      <c r="C86" s="505">
        <v>0</v>
      </c>
      <c r="D86" s="506">
        <f>SUM(D79:D85)</f>
        <v>5769</v>
      </c>
      <c r="E86" s="507">
        <v>0</v>
      </c>
      <c r="F86" s="508">
        <f>B86/D86*100</f>
        <v>85.7514300572023</v>
      </c>
      <c r="I86" s="590"/>
    </row>
    <row r="87" spans="1:6" s="175" customFormat="1" ht="15.75" thickBot="1">
      <c r="A87" s="179" t="s">
        <v>465</v>
      </c>
      <c r="B87" s="509">
        <f>'cpl-2date'!O40</f>
        <v>-1628</v>
      </c>
      <c r="C87" s="510">
        <v>0</v>
      </c>
      <c r="D87" s="509">
        <f>'cpl-qtr(b)'!O33</f>
        <v>-1495.0488</v>
      </c>
      <c r="E87" s="511">
        <v>0</v>
      </c>
      <c r="F87" s="512"/>
    </row>
    <row r="88" spans="1:6" s="175" customFormat="1" ht="15.75" thickBot="1">
      <c r="A88" s="202"/>
      <c r="B88" s="513">
        <f>B86+B87</f>
        <v>3319</v>
      </c>
      <c r="C88" s="514">
        <v>0</v>
      </c>
      <c r="D88" s="513">
        <f>D86+D87</f>
        <v>4273.9511999999995</v>
      </c>
      <c r="E88" s="515">
        <v>0</v>
      </c>
      <c r="F88" s="516">
        <f>B88/D88*100</f>
        <v>77.65647862334039</v>
      </c>
    </row>
    <row r="89" spans="2:4" ht="15">
      <c r="B89" s="216" t="s">
        <v>396</v>
      </c>
      <c r="C89" s="216"/>
      <c r="D89" s="216" t="s">
        <v>402</v>
      </c>
    </row>
    <row r="90" spans="2:4" ht="15">
      <c r="B90" s="216"/>
      <c r="C90" s="216"/>
      <c r="D90" s="216"/>
    </row>
  </sheetData>
  <mergeCells count="9">
    <mergeCell ref="B61:C61"/>
    <mergeCell ref="D61:E61"/>
    <mergeCell ref="B30:F30"/>
    <mergeCell ref="B31:C31"/>
    <mergeCell ref="D31:E31"/>
    <mergeCell ref="B6:F6"/>
    <mergeCell ref="B7:C7"/>
    <mergeCell ref="D7:E7"/>
    <mergeCell ref="B60:F60"/>
  </mergeCells>
  <printOptions/>
  <pageMargins left="0.75" right="0.75" top="0.25" bottom="0.2" header="0.25" footer="0.19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C17" sqref="C17"/>
    </sheetView>
  </sheetViews>
  <sheetFormatPr defaultColWidth="9.140625" defaultRowHeight="12.75"/>
  <cols>
    <col min="1" max="1" width="16.57421875" style="174" customWidth="1"/>
    <col min="2" max="6" width="11.7109375" style="174" customWidth="1"/>
    <col min="7" max="7" width="3.421875" style="174" customWidth="1"/>
    <col min="8" max="10" width="9.140625" style="174" customWidth="1"/>
    <col min="11" max="11" width="9.7109375" style="174" customWidth="1"/>
    <col min="12" max="16384" width="9.140625" style="174" customWidth="1"/>
  </cols>
  <sheetData>
    <row r="1" spans="1:7" ht="15">
      <c r="A1" s="173" t="s">
        <v>745</v>
      </c>
      <c r="E1" s="263" t="s">
        <v>847</v>
      </c>
      <c r="G1" s="175"/>
    </row>
    <row r="2" spans="1:7" ht="15">
      <c r="A2" s="173" t="s">
        <v>220</v>
      </c>
      <c r="E2" s="263" t="s">
        <v>848</v>
      </c>
      <c r="G2" s="175"/>
    </row>
    <row r="3" spans="1:11" ht="15">
      <c r="A3" s="173" t="s">
        <v>746</v>
      </c>
      <c r="G3" s="175"/>
      <c r="K3" s="176"/>
    </row>
    <row r="4" spans="1:11" ht="15">
      <c r="A4" s="173"/>
      <c r="G4" s="175"/>
      <c r="K4" s="176"/>
    </row>
    <row r="5" ht="15.75" thickBot="1">
      <c r="G5" s="175"/>
    </row>
    <row r="6" spans="2:7" ht="15">
      <c r="B6" s="592" t="s">
        <v>748</v>
      </c>
      <c r="C6" s="593"/>
      <c r="D6" s="593"/>
      <c r="E6" s="593"/>
      <c r="F6" s="594"/>
      <c r="G6" s="177"/>
    </row>
    <row r="7" spans="1:7" ht="15">
      <c r="A7" s="178"/>
      <c r="B7" s="595" t="s">
        <v>661</v>
      </c>
      <c r="C7" s="596"/>
      <c r="D7" s="597" t="s">
        <v>662</v>
      </c>
      <c r="E7" s="596"/>
      <c r="F7" s="179" t="s">
        <v>662</v>
      </c>
      <c r="G7" s="175"/>
    </row>
    <row r="8" spans="1:7" ht="15">
      <c r="A8" s="180" t="s">
        <v>96</v>
      </c>
      <c r="B8" s="181">
        <v>1999</v>
      </c>
      <c r="C8" s="245">
        <v>2000</v>
      </c>
      <c r="D8" s="182">
        <v>2000</v>
      </c>
      <c r="E8" s="183" t="s">
        <v>844</v>
      </c>
      <c r="F8" s="244">
        <v>2001</v>
      </c>
      <c r="G8" s="175"/>
    </row>
    <row r="9" spans="1:7" ht="15.75" thickBot="1">
      <c r="A9" s="185"/>
      <c r="B9" s="252" t="s">
        <v>845</v>
      </c>
      <c r="C9" s="188" t="s">
        <v>845</v>
      </c>
      <c r="D9" s="188" t="s">
        <v>845</v>
      </c>
      <c r="E9" s="188" t="s">
        <v>664</v>
      </c>
      <c r="F9" s="189" t="s">
        <v>845</v>
      </c>
      <c r="G9" s="175"/>
    </row>
    <row r="10" spans="1:7" ht="15">
      <c r="A10" s="183"/>
      <c r="B10" s="190"/>
      <c r="C10" s="258" t="s">
        <v>396</v>
      </c>
      <c r="D10" s="260" t="s">
        <v>402</v>
      </c>
      <c r="E10" s="261" t="s">
        <v>846</v>
      </c>
      <c r="F10" s="193"/>
      <c r="G10" s="175"/>
    </row>
    <row r="11" spans="1:7" ht="15">
      <c r="A11" s="183" t="s">
        <v>107</v>
      </c>
      <c r="B11" s="246">
        <v>2.5</v>
      </c>
      <c r="C11" s="194">
        <v>3.8</v>
      </c>
      <c r="D11" s="248">
        <v>2.2</v>
      </c>
      <c r="E11" s="198">
        <f>C11/D11*100</f>
        <v>172.72727272727272</v>
      </c>
      <c r="F11" s="196">
        <v>2.2</v>
      </c>
      <c r="G11" s="175"/>
    </row>
    <row r="12" spans="1:7" ht="15">
      <c r="A12" s="183"/>
      <c r="B12" s="246"/>
      <c r="C12" s="194"/>
      <c r="D12" s="248"/>
      <c r="E12" s="198"/>
      <c r="F12" s="197"/>
      <c r="G12" s="175"/>
    </row>
    <row r="13" spans="1:7" ht="15">
      <c r="A13" s="183" t="s">
        <v>724</v>
      </c>
      <c r="B13" s="246">
        <v>40.9</v>
      </c>
      <c r="C13" s="194">
        <v>18.2</v>
      </c>
      <c r="D13" s="248">
        <v>62.4</v>
      </c>
      <c r="E13" s="198">
        <f>C13/D13*100</f>
        <v>29.166666666666668</v>
      </c>
      <c r="F13" s="196">
        <v>67.4</v>
      </c>
      <c r="G13" s="175"/>
    </row>
    <row r="14" spans="1:7" ht="15">
      <c r="A14" s="183"/>
      <c r="B14" s="246"/>
      <c r="C14" s="194"/>
      <c r="D14" s="248"/>
      <c r="E14" s="198"/>
      <c r="F14" s="197"/>
      <c r="G14" s="175"/>
    </row>
    <row r="15" spans="1:7" ht="15">
      <c r="A15" s="183" t="s">
        <v>98</v>
      </c>
      <c r="B15" s="246">
        <v>84.88</v>
      </c>
      <c r="C15" s="194">
        <v>112.7</v>
      </c>
      <c r="D15" s="248">
        <v>109.4</v>
      </c>
      <c r="E15" s="198">
        <f>C15/D15*100</f>
        <v>103.0164533820841</v>
      </c>
      <c r="F15" s="196">
        <v>137.3</v>
      </c>
      <c r="G15" s="175"/>
    </row>
    <row r="16" spans="1:7" ht="15">
      <c r="A16" s="183"/>
      <c r="B16" s="246"/>
      <c r="C16" s="194"/>
      <c r="D16" s="248"/>
      <c r="E16" s="198"/>
      <c r="F16" s="197"/>
      <c r="G16" s="175"/>
    </row>
    <row r="17" spans="1:7" ht="15">
      <c r="A17" s="183" t="s">
        <v>99</v>
      </c>
      <c r="B17" s="246">
        <v>22.71</v>
      </c>
      <c r="C17" s="194">
        <v>10.2</v>
      </c>
      <c r="D17" s="248">
        <v>19.6</v>
      </c>
      <c r="E17" s="198">
        <f>C17/D17*100</f>
        <v>52.0408163265306</v>
      </c>
      <c r="F17" s="196">
        <v>16.3</v>
      </c>
      <c r="G17" s="175"/>
    </row>
    <row r="18" spans="1:7" ht="15">
      <c r="A18" s="183"/>
      <c r="B18" s="246"/>
      <c r="C18" s="194"/>
      <c r="D18" s="248"/>
      <c r="E18" s="198"/>
      <c r="F18" s="197"/>
      <c r="G18" s="175"/>
    </row>
    <row r="19" spans="1:7" ht="15">
      <c r="A19" s="183" t="s">
        <v>100</v>
      </c>
      <c r="B19" s="246">
        <v>11.8</v>
      </c>
      <c r="C19" s="194">
        <v>13</v>
      </c>
      <c r="D19" s="248">
        <v>11.4</v>
      </c>
      <c r="E19" s="199">
        <f>C19/D19*100</f>
        <v>114.03508771929825</v>
      </c>
      <c r="F19" s="200">
        <v>12.7</v>
      </c>
      <c r="G19" s="175"/>
    </row>
    <row r="20" spans="1:7" ht="15">
      <c r="A20" s="183"/>
      <c r="B20" s="246"/>
      <c r="C20" s="194"/>
      <c r="D20" s="248"/>
      <c r="E20" s="198"/>
      <c r="F20" s="197"/>
      <c r="G20" s="175"/>
    </row>
    <row r="21" spans="1:7" ht="15">
      <c r="A21" s="183" t="s">
        <v>101</v>
      </c>
      <c r="B21" s="246">
        <v>23.8</v>
      </c>
      <c r="C21" s="194">
        <v>20.2</v>
      </c>
      <c r="D21" s="248">
        <v>31.6</v>
      </c>
      <c r="E21" s="198">
        <f>C21/D21*100</f>
        <v>63.92405063291139</v>
      </c>
      <c r="F21" s="197">
        <v>36.7</v>
      </c>
      <c r="G21" s="175"/>
    </row>
    <row r="22" spans="1:7" ht="15">
      <c r="A22" s="183"/>
      <c r="B22" s="246"/>
      <c r="C22" s="194"/>
      <c r="D22" s="248"/>
      <c r="E22" s="198"/>
      <c r="F22" s="197"/>
      <c r="G22" s="175"/>
    </row>
    <row r="23" spans="1:7" ht="15">
      <c r="A23" s="183" t="s">
        <v>786</v>
      </c>
      <c r="B23" s="246">
        <v>-0.48</v>
      </c>
      <c r="C23" s="194">
        <v>-1.5</v>
      </c>
      <c r="D23" s="248">
        <v>-0.2</v>
      </c>
      <c r="E23" s="198"/>
      <c r="F23" s="251">
        <v>-0.2</v>
      </c>
      <c r="G23" s="175"/>
    </row>
    <row r="24" spans="1:7" ht="15.75" thickBot="1">
      <c r="A24" s="183"/>
      <c r="B24" s="246"/>
      <c r="C24" s="194"/>
      <c r="D24" s="249"/>
      <c r="E24" s="217"/>
      <c r="F24" s="215"/>
      <c r="G24" s="175"/>
    </row>
    <row r="25" spans="1:7" ht="15.75" thickBot="1">
      <c r="A25" s="202"/>
      <c r="B25" s="247">
        <f>SUM(B11:B23)</f>
        <v>186.11000000000004</v>
      </c>
      <c r="C25" s="247">
        <f>SUM(C11:C23)</f>
        <v>176.59999999999997</v>
      </c>
      <c r="D25" s="250">
        <f>SUM(D11:D23)</f>
        <v>236.4</v>
      </c>
      <c r="E25" s="203">
        <f>C25/D25*100</f>
        <v>74.70389170896784</v>
      </c>
      <c r="F25" s="203">
        <f>SUM(F11:F23)</f>
        <v>272.40000000000003</v>
      </c>
      <c r="G25" s="175"/>
    </row>
    <row r="26" spans="2:4" ht="15">
      <c r="B26" s="216"/>
      <c r="D26" s="216"/>
    </row>
    <row r="27" ht="15.75" thickBot="1"/>
    <row r="28" spans="2:6" ht="15">
      <c r="B28" s="592" t="s">
        <v>750</v>
      </c>
      <c r="C28" s="593"/>
      <c r="D28" s="593"/>
      <c r="E28" s="593"/>
      <c r="F28" s="594"/>
    </row>
    <row r="29" spans="1:6" ht="15">
      <c r="A29" s="178"/>
      <c r="B29" s="595" t="s">
        <v>661</v>
      </c>
      <c r="C29" s="596"/>
      <c r="D29" s="597" t="s">
        <v>662</v>
      </c>
      <c r="E29" s="596"/>
      <c r="F29" s="179" t="s">
        <v>662</v>
      </c>
    </row>
    <row r="30" spans="1:6" ht="15">
      <c r="A30" s="180" t="s">
        <v>96</v>
      </c>
      <c r="B30" s="181">
        <v>1999</v>
      </c>
      <c r="C30" s="245">
        <v>2000</v>
      </c>
      <c r="D30" s="182">
        <v>2000</v>
      </c>
      <c r="E30" s="183" t="s">
        <v>844</v>
      </c>
      <c r="F30" s="244">
        <v>2001</v>
      </c>
    </row>
    <row r="31" spans="1:6" ht="15.75" thickBot="1">
      <c r="A31" s="185"/>
      <c r="B31" s="252" t="s">
        <v>845</v>
      </c>
      <c r="C31" s="188" t="s">
        <v>845</v>
      </c>
      <c r="D31" s="188" t="s">
        <v>845</v>
      </c>
      <c r="E31" s="188" t="s">
        <v>664</v>
      </c>
      <c r="F31" s="189" t="s">
        <v>845</v>
      </c>
    </row>
    <row r="32" spans="1:6" ht="15">
      <c r="A32" s="183"/>
      <c r="B32" s="190"/>
      <c r="C32" s="258" t="s">
        <v>396</v>
      </c>
      <c r="D32" s="259" t="s">
        <v>402</v>
      </c>
      <c r="E32" s="259" t="s">
        <v>846</v>
      </c>
      <c r="F32" s="193"/>
    </row>
    <row r="33" spans="1:6" ht="15">
      <c r="A33" s="183" t="s">
        <v>107</v>
      </c>
      <c r="B33" s="246">
        <v>1</v>
      </c>
      <c r="C33" s="194">
        <v>2.5</v>
      </c>
      <c r="D33" s="255">
        <v>1.7</v>
      </c>
      <c r="E33" s="195">
        <f>C33/D33*100</f>
        <v>147.05882352941177</v>
      </c>
      <c r="F33" s="196">
        <v>1</v>
      </c>
    </row>
    <row r="34" spans="1:6" ht="15">
      <c r="A34" s="183"/>
      <c r="B34" s="246"/>
      <c r="C34" s="194"/>
      <c r="D34" s="255"/>
      <c r="E34" s="195"/>
      <c r="F34" s="197"/>
    </row>
    <row r="35" spans="1:6" ht="15">
      <c r="A35" s="183" t="s">
        <v>724</v>
      </c>
      <c r="B35" s="246">
        <v>14.2</v>
      </c>
      <c r="C35" s="194">
        <v>1.2</v>
      </c>
      <c r="D35" s="255">
        <v>13.5</v>
      </c>
      <c r="E35" s="195">
        <f>C35/D35*100</f>
        <v>8.88888888888889</v>
      </c>
      <c r="F35" s="196">
        <v>12.5</v>
      </c>
    </row>
    <row r="36" spans="1:6" ht="15">
      <c r="A36" s="183"/>
      <c r="B36" s="246"/>
      <c r="C36" s="194"/>
      <c r="D36" s="248"/>
      <c r="E36" s="198"/>
      <c r="F36" s="197"/>
    </row>
    <row r="37" spans="1:6" ht="15">
      <c r="A37" s="183" t="s">
        <v>98</v>
      </c>
      <c r="B37" s="246">
        <v>6.7</v>
      </c>
      <c r="C37" s="194">
        <v>9.8</v>
      </c>
      <c r="D37" s="248">
        <v>9.5</v>
      </c>
      <c r="E37" s="198">
        <f>C37/D37*100</f>
        <v>103.15789473684211</v>
      </c>
      <c r="F37" s="196">
        <v>11.5</v>
      </c>
    </row>
    <row r="38" spans="1:6" ht="15">
      <c r="A38" s="183"/>
      <c r="B38" s="246"/>
      <c r="C38" s="194"/>
      <c r="D38" s="248"/>
      <c r="E38" s="198"/>
      <c r="F38" s="197"/>
    </row>
    <row r="39" spans="1:6" ht="15">
      <c r="A39" s="183" t="s">
        <v>99</v>
      </c>
      <c r="B39" s="246">
        <v>2.6</v>
      </c>
      <c r="C39" s="194">
        <v>-4</v>
      </c>
      <c r="D39" s="248">
        <v>0.7</v>
      </c>
      <c r="E39" s="198">
        <f>C39/D39*100</f>
        <v>-571.4285714285714</v>
      </c>
      <c r="F39" s="196">
        <v>0.2</v>
      </c>
    </row>
    <row r="40" spans="1:6" ht="15">
      <c r="A40" s="183"/>
      <c r="B40" s="246"/>
      <c r="C40" s="194"/>
      <c r="D40" s="248"/>
      <c r="E40" s="198"/>
      <c r="F40" s="197"/>
    </row>
    <row r="41" spans="1:6" ht="15">
      <c r="A41" s="183" t="s">
        <v>100</v>
      </c>
      <c r="B41" s="246">
        <v>-2.1</v>
      </c>
      <c r="C41" s="194">
        <v>-1.2</v>
      </c>
      <c r="D41" s="248">
        <v>-2</v>
      </c>
      <c r="E41" s="199">
        <f>C41/D41*100</f>
        <v>60</v>
      </c>
      <c r="F41" s="257">
        <v>-1.7</v>
      </c>
    </row>
    <row r="42" spans="1:6" ht="15">
      <c r="A42" s="183"/>
      <c r="B42" s="246"/>
      <c r="C42" s="194"/>
      <c r="D42" s="248"/>
      <c r="E42" s="198"/>
      <c r="F42" s="197"/>
    </row>
    <row r="43" spans="1:6" ht="15">
      <c r="A43" s="183" t="s">
        <v>101</v>
      </c>
      <c r="B43" s="246">
        <v>11.5</v>
      </c>
      <c r="C43" s="194">
        <v>8.4</v>
      </c>
      <c r="D43" s="248">
        <v>13.2</v>
      </c>
      <c r="E43" s="198">
        <f>C43/D43*100</f>
        <v>63.63636363636365</v>
      </c>
      <c r="F43" s="197">
        <v>16.8</v>
      </c>
    </row>
    <row r="44" spans="1:6" ht="15">
      <c r="A44" s="183"/>
      <c r="B44" s="253"/>
      <c r="C44" s="204"/>
      <c r="D44" s="256"/>
      <c r="E44" s="205"/>
      <c r="F44" s="206"/>
    </row>
    <row r="45" spans="1:6" ht="15">
      <c r="A45" s="183"/>
      <c r="B45" s="262">
        <f>SUM(B33:B43)</f>
        <v>33.9</v>
      </c>
      <c r="C45" s="194">
        <f>SUM(C33:C43)</f>
        <v>16.700000000000003</v>
      </c>
      <c r="D45" s="248">
        <f>SUM(D33:D43)</f>
        <v>36.599999999999994</v>
      </c>
      <c r="E45" s="198"/>
      <c r="F45" s="197">
        <f>SUM(F33:F44)</f>
        <v>40.3</v>
      </c>
    </row>
    <row r="46" spans="1:6" ht="15">
      <c r="A46" s="183"/>
      <c r="B46" s="246"/>
      <c r="C46" s="194"/>
      <c r="D46" s="248"/>
      <c r="E46" s="198"/>
      <c r="F46" s="197"/>
    </row>
    <row r="47" spans="1:6" ht="15">
      <c r="A47" s="183" t="s">
        <v>786</v>
      </c>
      <c r="B47" s="246">
        <v>0.2</v>
      </c>
      <c r="C47" s="194">
        <v>-3.8</v>
      </c>
      <c r="D47" s="248">
        <v>-2.7</v>
      </c>
      <c r="E47" s="198"/>
      <c r="F47" s="251">
        <v>-2.4</v>
      </c>
    </row>
    <row r="48" spans="1:6" ht="15.75" thickBot="1">
      <c r="A48" s="183"/>
      <c r="B48" s="246"/>
      <c r="C48" s="254"/>
      <c r="D48" s="249"/>
      <c r="E48" s="198"/>
      <c r="F48" s="197"/>
    </row>
    <row r="49" spans="1:6" ht="15.75" thickBot="1">
      <c r="A49" s="202"/>
      <c r="B49" s="247">
        <f>SUM(B45:B47)</f>
        <v>34.1</v>
      </c>
      <c r="C49" s="247">
        <f>SUM(C45:C47)</f>
        <v>12.900000000000002</v>
      </c>
      <c r="D49" s="250">
        <f>SUM(D45:D47)</f>
        <v>33.89999999999999</v>
      </c>
      <c r="E49" s="203">
        <f>C49/D49*100</f>
        <v>38.053097345132755</v>
      </c>
      <c r="F49" s="203">
        <f>SUM(F45:F47)</f>
        <v>37.9</v>
      </c>
    </row>
    <row r="50" spans="2:4" ht="15">
      <c r="B50" s="216"/>
      <c r="C50" s="216"/>
      <c r="D50" s="216"/>
    </row>
    <row r="51" spans="2:4" ht="15">
      <c r="B51" s="216"/>
      <c r="C51" s="216"/>
      <c r="D51" s="216"/>
    </row>
  </sheetData>
  <mergeCells count="6">
    <mergeCell ref="B29:C29"/>
    <mergeCell ref="D29:E29"/>
    <mergeCell ref="B6:F6"/>
    <mergeCell ref="B7:C7"/>
    <mergeCell ref="D7:E7"/>
    <mergeCell ref="B28:F28"/>
  </mergeCells>
  <printOptions/>
  <pageMargins left="0.75" right="0.75" top="0.3" bottom="0.51" header="0.32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F21" sqref="F21"/>
    </sheetView>
  </sheetViews>
  <sheetFormatPr defaultColWidth="9.140625" defaultRowHeight="12.75"/>
  <cols>
    <col min="1" max="6" width="9.140625" style="1" customWidth="1"/>
    <col min="7" max="7" width="11.140625" style="1" customWidth="1"/>
    <col min="8" max="8" width="10.8515625" style="1" customWidth="1"/>
    <col min="9" max="9" width="11.140625" style="1" customWidth="1"/>
    <col min="10" max="16384" width="9.140625" style="1" customWidth="1"/>
  </cols>
  <sheetData>
    <row r="1" ht="11.25">
      <c r="A1" s="5" t="s">
        <v>95</v>
      </c>
    </row>
    <row r="2" ht="11.25">
      <c r="A2" s="5" t="s">
        <v>852</v>
      </c>
    </row>
    <row r="3" ht="11.25">
      <c r="A3" s="5" t="s">
        <v>853</v>
      </c>
    </row>
    <row r="4" spans="8:9" ht="11.25">
      <c r="H4" s="301"/>
      <c r="I4" s="301" t="s">
        <v>855</v>
      </c>
    </row>
    <row r="5" ht="11.25">
      <c r="A5" s="2" t="s">
        <v>863</v>
      </c>
    </row>
    <row r="7" spans="2:9" ht="12" thickBot="1">
      <c r="B7" s="1" t="s">
        <v>854</v>
      </c>
      <c r="H7" s="11"/>
      <c r="I7" s="108">
        <v>-4999877</v>
      </c>
    </row>
    <row r="8" spans="8:9" ht="12" thickTop="1">
      <c r="H8" s="11"/>
      <c r="I8" s="11"/>
    </row>
    <row r="9" spans="2:9" ht="11.25">
      <c r="B9" s="1" t="s">
        <v>856</v>
      </c>
      <c r="I9" s="11"/>
    </row>
    <row r="10" spans="2:9" ht="11.25">
      <c r="B10" s="1" t="s">
        <v>857</v>
      </c>
      <c r="I10" s="11">
        <v>27456</v>
      </c>
    </row>
    <row r="11" spans="2:9" ht="11.25">
      <c r="B11" s="1" t="s">
        <v>858</v>
      </c>
      <c r="I11" s="11">
        <v>-4887343</v>
      </c>
    </row>
    <row r="12" spans="2:9" ht="11.25">
      <c r="B12" s="1" t="s">
        <v>859</v>
      </c>
      <c r="I12" s="11">
        <v>-139990</v>
      </c>
    </row>
    <row r="13" ht="12" thickBot="1">
      <c r="I13" s="302">
        <f>SUM(I10:I12)</f>
        <v>-4999877</v>
      </c>
    </row>
    <row r="14" ht="12" thickTop="1">
      <c r="I14" s="22"/>
    </row>
    <row r="15" spans="2:9" ht="11.25">
      <c r="B15" s="1" t="s">
        <v>943</v>
      </c>
      <c r="I15" s="22">
        <v>-191242</v>
      </c>
    </row>
    <row r="16" spans="2:9" ht="11.25">
      <c r="B16" s="1" t="s">
        <v>944</v>
      </c>
      <c r="I16" s="22">
        <v>-290585</v>
      </c>
    </row>
    <row r="17" spans="2:9" ht="12" thickBot="1">
      <c r="B17" s="1" t="s">
        <v>946</v>
      </c>
      <c r="I17" s="302">
        <f>SUM(I15:I16)</f>
        <v>-481827</v>
      </c>
    </row>
    <row r="18" ht="12" thickTop="1">
      <c r="I18" s="11"/>
    </row>
    <row r="19" spans="2:9" ht="11.25">
      <c r="B19" s="1" t="s">
        <v>860</v>
      </c>
      <c r="H19" s="11"/>
      <c r="I19" s="11"/>
    </row>
    <row r="20" spans="2:9" ht="11.25">
      <c r="B20" s="1" t="s">
        <v>861</v>
      </c>
      <c r="H20" s="11"/>
      <c r="I20" s="303">
        <f>I12*0.2</f>
        <v>-27998</v>
      </c>
    </row>
    <row r="21" spans="2:9" ht="11.25">
      <c r="B21" s="1" t="s">
        <v>862</v>
      </c>
      <c r="H21" s="11"/>
      <c r="I21" s="303">
        <f>I15*0.2</f>
        <v>-38248.4</v>
      </c>
    </row>
    <row r="22" spans="2:9" ht="12" thickBot="1">
      <c r="B22" s="1" t="s">
        <v>945</v>
      </c>
      <c r="H22" s="11"/>
      <c r="I22" s="304">
        <f>SUM(I20:I21)</f>
        <v>-66246.4</v>
      </c>
    </row>
    <row r="23" spans="8:9" ht="12" thickTop="1">
      <c r="H23" s="11"/>
      <c r="I23" s="306"/>
    </row>
    <row r="24" spans="2:9" ht="11.25">
      <c r="B24" s="1" t="s">
        <v>947</v>
      </c>
      <c r="H24" s="11"/>
      <c r="I24" s="306">
        <f>0.2*I16</f>
        <v>-58117</v>
      </c>
    </row>
    <row r="25" spans="8:9" ht="11.25">
      <c r="H25" s="11"/>
      <c r="I25" s="11"/>
    </row>
    <row r="26" spans="1:9" ht="11.25">
      <c r="A26" s="2" t="s">
        <v>864</v>
      </c>
      <c r="I26" s="11"/>
    </row>
    <row r="27" ht="11.25">
      <c r="I27" s="11"/>
    </row>
    <row r="28" spans="2:9" ht="11.25">
      <c r="B28" s="1" t="s">
        <v>872</v>
      </c>
      <c r="I28" s="11">
        <v>58353</v>
      </c>
    </row>
    <row r="29" ht="11.25">
      <c r="I29" s="11"/>
    </row>
    <row r="30" spans="2:9" ht="12" thickBot="1">
      <c r="B30" s="1" t="s">
        <v>873</v>
      </c>
      <c r="I30" s="305">
        <f>I28/4</f>
        <v>14588.25</v>
      </c>
    </row>
    <row r="31" ht="12" thickTop="1"/>
    <row r="32" ht="11.25">
      <c r="A32" s="2" t="s">
        <v>874</v>
      </c>
    </row>
    <row r="34" ht="11.25">
      <c r="B34" s="1" t="s">
        <v>894</v>
      </c>
    </row>
    <row r="35" ht="11.25">
      <c r="B35" s="1" t="s">
        <v>881</v>
      </c>
    </row>
    <row r="36" ht="11.25">
      <c r="B36" s="1" t="s">
        <v>882</v>
      </c>
    </row>
    <row r="38" spans="5:9" ht="11.25">
      <c r="E38" s="1" t="s">
        <v>724</v>
      </c>
      <c r="I38" s="303">
        <v>66114</v>
      </c>
    </row>
    <row r="39" spans="5:9" ht="11.25">
      <c r="E39" s="1" t="s">
        <v>99</v>
      </c>
      <c r="I39" s="303">
        <v>4000</v>
      </c>
    </row>
    <row r="40" ht="12" thickBot="1">
      <c r="I40" s="304">
        <f>SUM(I38:I39)</f>
        <v>70114</v>
      </c>
    </row>
    <row r="41" spans="2:9" ht="12" thickTop="1">
      <c r="B41" s="1" t="s">
        <v>883</v>
      </c>
      <c r="I41" s="306"/>
    </row>
    <row r="42" ht="11.25">
      <c r="I42" s="306"/>
    </row>
    <row r="43" spans="1:9" ht="11.25">
      <c r="A43" s="2" t="s">
        <v>893</v>
      </c>
      <c r="I43" s="306"/>
    </row>
    <row r="44" spans="8:9" ht="11.25">
      <c r="H44" s="1" t="s">
        <v>478</v>
      </c>
      <c r="I44" s="306" t="s">
        <v>885</v>
      </c>
    </row>
    <row r="45" spans="8:9" ht="11.25">
      <c r="H45" s="1" t="s">
        <v>884</v>
      </c>
      <c r="I45" s="306" t="s">
        <v>884</v>
      </c>
    </row>
    <row r="46" ht="11.25">
      <c r="I46" s="306" t="s">
        <v>892</v>
      </c>
    </row>
    <row r="47" spans="8:9" ht="11.25">
      <c r="H47" s="8" t="s">
        <v>59</v>
      </c>
      <c r="I47" s="307" t="s">
        <v>59</v>
      </c>
    </row>
    <row r="48" spans="2:9" ht="12" thickBot="1">
      <c r="B48" s="1" t="s">
        <v>753</v>
      </c>
      <c r="H48" s="108">
        <v>463</v>
      </c>
      <c r="I48" s="305">
        <f>463-70</f>
        <v>393</v>
      </c>
    </row>
    <row r="49" spans="8:9" ht="12" thickTop="1">
      <c r="H49" s="11"/>
      <c r="I49" s="306"/>
    </row>
    <row r="50" spans="2:9" ht="11.25">
      <c r="B50" s="1" t="s">
        <v>886</v>
      </c>
      <c r="H50" s="11">
        <v>4973</v>
      </c>
      <c r="I50" s="306">
        <f>H50-70+15</f>
        <v>4918</v>
      </c>
    </row>
    <row r="51" spans="2:9" ht="11.25">
      <c r="B51" s="1" t="s">
        <v>887</v>
      </c>
      <c r="H51" s="11"/>
      <c r="I51" s="303"/>
    </row>
    <row r="52" spans="2:9" ht="11.25">
      <c r="B52" s="1" t="s">
        <v>758</v>
      </c>
      <c r="H52" s="11">
        <v>1074</v>
      </c>
      <c r="I52" s="303">
        <f>H52-70</f>
        <v>1004</v>
      </c>
    </row>
    <row r="53" spans="2:9" ht="11.25">
      <c r="B53" s="1" t="s">
        <v>888</v>
      </c>
      <c r="H53" s="65">
        <v>2305</v>
      </c>
      <c r="I53" s="65">
        <v>2305</v>
      </c>
    </row>
    <row r="54" spans="2:9" ht="11.25">
      <c r="B54" s="1" t="s">
        <v>474</v>
      </c>
      <c r="H54" s="11">
        <f>H50-H52-H53</f>
        <v>1594</v>
      </c>
      <c r="I54" s="303">
        <f>I50-I52-I53</f>
        <v>1609</v>
      </c>
    </row>
    <row r="55" spans="2:9" ht="11.25">
      <c r="B55" s="1" t="s">
        <v>889</v>
      </c>
      <c r="H55" s="65">
        <v>0</v>
      </c>
      <c r="I55" s="308">
        <v>66</v>
      </c>
    </row>
    <row r="56" spans="8:9" ht="11.25">
      <c r="H56" s="11">
        <f>H54-H55</f>
        <v>1594</v>
      </c>
      <c r="I56" s="303">
        <f>I54-I55</f>
        <v>1543</v>
      </c>
    </row>
    <row r="57" spans="2:9" ht="11.25">
      <c r="B57" s="1" t="s">
        <v>761</v>
      </c>
      <c r="H57" s="65">
        <v>1074</v>
      </c>
      <c r="I57" s="308">
        <v>1074</v>
      </c>
    </row>
    <row r="58" spans="8:9" ht="11.25">
      <c r="H58" s="11">
        <f>H56-H57</f>
        <v>520</v>
      </c>
      <c r="I58" s="303">
        <f>I56-I57</f>
        <v>469</v>
      </c>
    </row>
    <row r="59" spans="2:9" ht="11.25">
      <c r="B59" s="1" t="s">
        <v>890</v>
      </c>
      <c r="H59" s="11">
        <v>-100</v>
      </c>
      <c r="I59" s="11">
        <v>-100</v>
      </c>
    </row>
    <row r="60" spans="2:9" ht="12" thickBot="1">
      <c r="B60" s="1" t="s">
        <v>891</v>
      </c>
      <c r="H60" s="309">
        <f>H58-H59</f>
        <v>620</v>
      </c>
      <c r="I60" s="310">
        <f>I58-I59</f>
        <v>569</v>
      </c>
    </row>
    <row r="61" ht="12" thickTop="1"/>
  </sheetData>
  <printOptions/>
  <pageMargins left="0.75" right="0.75" top="1" bottom="1" header="0.5" footer="0.5"/>
  <pageSetup horizontalDpi="600" verticalDpi="600" orientation="portrait" r:id="rId1"/>
  <headerFooter alignWithMargins="0">
    <oddFooter>&amp;L&amp;8shsm/extra/&amp;F&amp;D&amp;T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4" sqref="A4"/>
    </sheetView>
  </sheetViews>
  <sheetFormatPr defaultColWidth="9.140625" defaultRowHeight="12.75"/>
  <sheetData>
    <row r="1" ht="12.75">
      <c r="A1" s="18" t="s">
        <v>95</v>
      </c>
    </row>
    <row r="2" ht="12.75">
      <c r="A2" s="18" t="s">
        <v>381</v>
      </c>
    </row>
    <row r="3" ht="12.75">
      <c r="A3" s="18" t="s">
        <v>382</v>
      </c>
    </row>
    <row r="6" spans="1:9" ht="12.75">
      <c r="A6" s="598" t="s">
        <v>823</v>
      </c>
      <c r="B6" s="598"/>
      <c r="C6" s="598"/>
      <c r="D6" s="598"/>
      <c r="E6" s="598"/>
      <c r="F6" s="598"/>
      <c r="G6" s="598"/>
      <c r="I6" s="357" t="s">
        <v>824</v>
      </c>
    </row>
    <row r="8" ht="12.75">
      <c r="A8" s="18" t="s">
        <v>367</v>
      </c>
    </row>
    <row r="11" spans="1:9" ht="12.75">
      <c r="A11" t="s">
        <v>368</v>
      </c>
      <c r="I11" s="358" t="s">
        <v>825</v>
      </c>
    </row>
    <row r="13" spans="1:9" ht="12.75">
      <c r="A13" t="s">
        <v>369</v>
      </c>
      <c r="I13" s="358" t="s">
        <v>826</v>
      </c>
    </row>
    <row r="15" spans="1:9" ht="12.75">
      <c r="A15" t="s">
        <v>370</v>
      </c>
      <c r="I15" s="358" t="s">
        <v>827</v>
      </c>
    </row>
    <row r="16" spans="1:9" ht="12.75">
      <c r="A16" t="s">
        <v>645</v>
      </c>
      <c r="I16" s="358"/>
    </row>
    <row r="18" spans="1:9" ht="12.75">
      <c r="A18" t="s">
        <v>371</v>
      </c>
      <c r="I18" s="359">
        <v>5</v>
      </c>
    </row>
    <row r="19" spans="1:9" ht="12.75">
      <c r="A19" t="s">
        <v>646</v>
      </c>
      <c r="I19" s="359"/>
    </row>
    <row r="21" spans="1:9" ht="12.75">
      <c r="A21" t="s">
        <v>372</v>
      </c>
      <c r="I21" s="358" t="s">
        <v>828</v>
      </c>
    </row>
    <row r="22" ht="12.75">
      <c r="I22" s="358"/>
    </row>
    <row r="23" spans="1:9" ht="12.75">
      <c r="A23" t="s">
        <v>373</v>
      </c>
      <c r="I23" s="358" t="s">
        <v>530</v>
      </c>
    </row>
    <row r="24" spans="1:9" ht="12.75">
      <c r="A24" t="s">
        <v>374</v>
      </c>
      <c r="I24" s="358"/>
    </row>
    <row r="25" ht="12.75">
      <c r="I25" s="358"/>
    </row>
    <row r="26" spans="1:9" ht="12.75">
      <c r="A26" t="s">
        <v>373</v>
      </c>
      <c r="I26" s="358" t="s">
        <v>531</v>
      </c>
    </row>
    <row r="27" spans="1:9" ht="12.75">
      <c r="A27" t="s">
        <v>375</v>
      </c>
      <c r="I27" s="358"/>
    </row>
    <row r="31" ht="12.75">
      <c r="A31" s="18" t="s">
        <v>376</v>
      </c>
    </row>
    <row r="32" ht="12.75">
      <c r="A32" s="18" t="s">
        <v>829</v>
      </c>
    </row>
    <row r="33" ht="12.75">
      <c r="A33" s="18"/>
    </row>
    <row r="35" spans="1:9" ht="12.75">
      <c r="A35" t="s">
        <v>830</v>
      </c>
      <c r="I35" s="358" t="s">
        <v>532</v>
      </c>
    </row>
    <row r="37" spans="1:9" ht="12.75">
      <c r="A37" t="s">
        <v>831</v>
      </c>
      <c r="I37" s="358" t="s">
        <v>533</v>
      </c>
    </row>
    <row r="39" spans="1:9" ht="12.75">
      <c r="A39" t="s">
        <v>377</v>
      </c>
      <c r="I39" s="358" t="s">
        <v>378</v>
      </c>
    </row>
  </sheetData>
  <mergeCells count="1">
    <mergeCell ref="A6:G6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40">
      <selection activeCell="C51" sqref="C51"/>
    </sheetView>
  </sheetViews>
  <sheetFormatPr defaultColWidth="9.140625" defaultRowHeight="12.75"/>
  <cols>
    <col min="1" max="1" width="3.00390625" style="27" customWidth="1"/>
    <col min="2" max="9" width="9.140625" style="27" customWidth="1"/>
    <col min="10" max="10" width="24.421875" style="27" customWidth="1"/>
    <col min="11" max="11" width="9.7109375" style="27" customWidth="1"/>
    <col min="12" max="16384" width="9.140625" style="27" customWidth="1"/>
  </cols>
  <sheetData>
    <row r="1" ht="12">
      <c r="A1" s="26" t="s">
        <v>95</v>
      </c>
    </row>
    <row r="2" ht="12">
      <c r="A2" s="26" t="s">
        <v>340</v>
      </c>
    </row>
    <row r="3" spans="1:4" ht="12">
      <c r="A3" s="26"/>
      <c r="B3" s="26"/>
      <c r="C3" s="26"/>
      <c r="D3" s="26"/>
    </row>
    <row r="5" spans="1:2" ht="12">
      <c r="A5" s="31" t="s">
        <v>67</v>
      </c>
      <c r="B5" s="26" t="s">
        <v>909</v>
      </c>
    </row>
    <row r="6" spans="1:2" ht="12">
      <c r="A6" s="31"/>
      <c r="B6" s="26"/>
    </row>
    <row r="7" ht="12">
      <c r="B7" s="27" t="s">
        <v>341</v>
      </c>
    </row>
    <row r="8" ht="12">
      <c r="B8" s="27" t="s">
        <v>342</v>
      </c>
    </row>
    <row r="9" ht="12">
      <c r="B9" s="27" t="s">
        <v>343</v>
      </c>
    </row>
    <row r="10" ht="12">
      <c r="B10" s="27" t="s">
        <v>361</v>
      </c>
    </row>
    <row r="11" ht="12">
      <c r="B11" s="27" t="s">
        <v>362</v>
      </c>
    </row>
    <row r="13" ht="12">
      <c r="B13" s="27" t="s">
        <v>123</v>
      </c>
    </row>
    <row r="14" ht="12">
      <c r="B14" s="27" t="s">
        <v>124</v>
      </c>
    </row>
    <row r="15" ht="12">
      <c r="B15" s="27" t="s">
        <v>125</v>
      </c>
    </row>
    <row r="17" ht="12">
      <c r="B17" s="27" t="s">
        <v>335</v>
      </c>
    </row>
    <row r="18" ht="12">
      <c r="B18" s="27" t="s">
        <v>344</v>
      </c>
    </row>
    <row r="19" ht="12">
      <c r="B19" s="27" t="s">
        <v>345</v>
      </c>
    </row>
    <row r="21" ht="12">
      <c r="B21" s="31" t="s">
        <v>126</v>
      </c>
    </row>
    <row r="22" ht="12">
      <c r="B22" s="27" t="s">
        <v>127</v>
      </c>
    </row>
    <row r="23" ht="12">
      <c r="B23" s="27" t="s">
        <v>910</v>
      </c>
    </row>
    <row r="24" ht="12">
      <c r="B24" s="27" t="s">
        <v>346</v>
      </c>
    </row>
    <row r="25" ht="12">
      <c r="B25" s="27" t="s">
        <v>347</v>
      </c>
    </row>
    <row r="26" ht="12">
      <c r="B26" s="27" t="s">
        <v>454</v>
      </c>
    </row>
    <row r="28" spans="1:2" ht="12">
      <c r="A28" s="31" t="s">
        <v>69</v>
      </c>
      <c r="B28" s="26" t="s">
        <v>96</v>
      </c>
    </row>
    <row r="29" spans="1:2" ht="12">
      <c r="A29" s="31"/>
      <c r="B29" s="26"/>
    </row>
    <row r="30" ht="12">
      <c r="B30" s="27" t="s">
        <v>128</v>
      </c>
    </row>
    <row r="31" ht="12">
      <c r="B31" s="27" t="s">
        <v>348</v>
      </c>
    </row>
    <row r="32" ht="12">
      <c r="B32" s="27" t="s">
        <v>349</v>
      </c>
    </row>
    <row r="34" spans="1:2" ht="12">
      <c r="A34" s="91" t="s">
        <v>70</v>
      </c>
      <c r="B34" s="26" t="s">
        <v>499</v>
      </c>
    </row>
    <row r="35" spans="1:2" ht="12">
      <c r="A35" s="91"/>
      <c r="B35" s="26"/>
    </row>
    <row r="36" spans="1:5" ht="12">
      <c r="A36" s="26" t="s">
        <v>396</v>
      </c>
      <c r="B36" s="26" t="s">
        <v>501</v>
      </c>
      <c r="C36" s="26"/>
      <c r="D36" s="26"/>
      <c r="E36" s="26"/>
    </row>
    <row r="37" spans="1:5" ht="12">
      <c r="A37" s="26"/>
      <c r="B37" s="26"/>
      <c r="C37" s="26"/>
      <c r="D37" s="26"/>
      <c r="E37" s="26"/>
    </row>
    <row r="38" ht="12">
      <c r="B38" s="27" t="s">
        <v>350</v>
      </c>
    </row>
    <row r="39" ht="12">
      <c r="B39" s="27" t="s">
        <v>351</v>
      </c>
    </row>
    <row r="40" ht="12">
      <c r="B40" s="27" t="s">
        <v>129</v>
      </c>
    </row>
    <row r="41" ht="12">
      <c r="B41" s="27" t="s">
        <v>130</v>
      </c>
    </row>
    <row r="42" ht="12">
      <c r="B42" s="27" t="s">
        <v>131</v>
      </c>
    </row>
    <row r="43" ht="12">
      <c r="B43" s="27" t="s">
        <v>132</v>
      </c>
    </row>
    <row r="45" spans="1:4" ht="12">
      <c r="A45" s="26" t="s">
        <v>402</v>
      </c>
      <c r="B45" s="26" t="s">
        <v>502</v>
      </c>
      <c r="C45" s="26"/>
      <c r="D45" s="26"/>
    </row>
    <row r="47" ht="12">
      <c r="B47" s="27" t="s">
        <v>133</v>
      </c>
    </row>
    <row r="48" ht="12">
      <c r="B48" s="27" t="s">
        <v>134</v>
      </c>
    </row>
    <row r="49" ht="12">
      <c r="B49" s="27" t="s">
        <v>135</v>
      </c>
    </row>
    <row r="50" ht="12">
      <c r="B50" s="27" t="s">
        <v>452</v>
      </c>
    </row>
    <row r="51" ht="12">
      <c r="B51" s="27" t="s">
        <v>453</v>
      </c>
    </row>
    <row r="53" ht="12">
      <c r="B53" s="27" t="s">
        <v>352</v>
      </c>
    </row>
    <row r="54" ht="12">
      <c r="B54" s="27" t="s">
        <v>1042</v>
      </c>
    </row>
    <row r="59" spans="1:2" s="26" customFormat="1" ht="12">
      <c r="A59" s="92" t="s">
        <v>500</v>
      </c>
      <c r="B59" s="26" t="s">
        <v>914</v>
      </c>
    </row>
    <row r="61" ht="12">
      <c r="B61" s="27" t="s">
        <v>353</v>
      </c>
    </row>
    <row r="62" ht="12">
      <c r="B62" s="27" t="s">
        <v>136</v>
      </c>
    </row>
    <row r="63" ht="12">
      <c r="B63" s="27" t="s">
        <v>137</v>
      </c>
    </row>
    <row r="64" ht="12">
      <c r="B64" s="27" t="s">
        <v>138</v>
      </c>
    </row>
    <row r="66" ht="12">
      <c r="B66" s="27" t="s">
        <v>354</v>
      </c>
    </row>
    <row r="67" ht="12">
      <c r="B67" s="27" t="s">
        <v>355</v>
      </c>
    </row>
    <row r="69" spans="1:5" ht="12">
      <c r="A69" s="26" t="s">
        <v>413</v>
      </c>
      <c r="B69" s="26" t="s">
        <v>506</v>
      </c>
      <c r="C69" s="26"/>
      <c r="D69" s="26"/>
      <c r="E69" s="26"/>
    </row>
    <row r="71" ht="12">
      <c r="B71" s="27" t="s">
        <v>356</v>
      </c>
    </row>
    <row r="72" ht="12">
      <c r="B72" s="27" t="s">
        <v>357</v>
      </c>
    </row>
    <row r="73" ht="12">
      <c r="B73" s="27" t="s">
        <v>358</v>
      </c>
    </row>
    <row r="74" ht="12">
      <c r="B74" s="27" t="s">
        <v>359</v>
      </c>
    </row>
    <row r="75" ht="12">
      <c r="B75" s="27" t="s">
        <v>360</v>
      </c>
    </row>
    <row r="77" spans="1:2" ht="12">
      <c r="A77" s="26" t="s">
        <v>414</v>
      </c>
      <c r="B77" s="27" t="s">
        <v>139</v>
      </c>
    </row>
    <row r="78" ht="12">
      <c r="B78" s="27" t="s">
        <v>140</v>
      </c>
    </row>
    <row r="79" ht="12">
      <c r="B79" s="27" t="s">
        <v>142</v>
      </c>
    </row>
    <row r="80" ht="12">
      <c r="B80" s="27" t="s">
        <v>141</v>
      </c>
    </row>
    <row r="82" spans="1:6" ht="12">
      <c r="A82" s="26" t="s">
        <v>0</v>
      </c>
      <c r="B82" s="26" t="s">
        <v>503</v>
      </c>
      <c r="F82" s="27" t="s">
        <v>822</v>
      </c>
    </row>
    <row r="83" spans="1:2" ht="12">
      <c r="A83" s="26"/>
      <c r="B83" s="26"/>
    </row>
    <row r="84" spans="1:6" ht="12">
      <c r="A84" s="26" t="s">
        <v>3</v>
      </c>
      <c r="B84" s="26" t="s">
        <v>504</v>
      </c>
      <c r="F84" s="27" t="s">
        <v>334</v>
      </c>
    </row>
    <row r="85" spans="1:6" ht="12">
      <c r="A85" s="26"/>
      <c r="B85" s="26"/>
      <c r="F85" s="27" t="s">
        <v>336</v>
      </c>
    </row>
    <row r="86" spans="1:2" ht="12">
      <c r="A86" s="26"/>
      <c r="B86" s="26"/>
    </row>
    <row r="87" spans="1:6" ht="12">
      <c r="A87" s="26" t="s">
        <v>6</v>
      </c>
      <c r="B87" s="26" t="s">
        <v>505</v>
      </c>
      <c r="F87" s="27" t="s">
        <v>1043</v>
      </c>
    </row>
    <row r="90" spans="1:8" ht="12">
      <c r="A90" s="26" t="s">
        <v>915</v>
      </c>
      <c r="B90" s="26" t="s">
        <v>916</v>
      </c>
      <c r="C90" s="26"/>
      <c r="D90" s="26"/>
      <c r="F90" s="27" t="s">
        <v>365</v>
      </c>
      <c r="G90" s="26"/>
      <c r="H90" s="26"/>
    </row>
    <row r="91" spans="2:6" ht="12">
      <c r="B91" s="26"/>
      <c r="F91" s="27" t="s">
        <v>366</v>
      </c>
    </row>
    <row r="92" ht="12">
      <c r="B92" s="26"/>
    </row>
    <row r="94" spans="1:2" ht="12">
      <c r="A94" s="91"/>
      <c r="B94" s="31"/>
    </row>
    <row r="110" ht="12">
      <c r="B110" s="31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 s="18"/>
      <c r="C115"/>
      <c r="D115"/>
      <c r="E115"/>
      <c r="F115"/>
      <c r="G115" s="93"/>
      <c r="H115"/>
      <c r="I115"/>
    </row>
  </sheetData>
  <printOptions/>
  <pageMargins left="0.5" right="0" top="1" bottom="0.56" header="0.5" footer="0.5"/>
  <pageSetup horizontalDpi="360" verticalDpi="36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B7" sqref="B7"/>
    </sheetView>
  </sheetViews>
  <sheetFormatPr defaultColWidth="9.140625" defaultRowHeight="12.75"/>
  <sheetData>
    <row r="1" ht="12.75">
      <c r="A1" s="18" t="s">
        <v>1004</v>
      </c>
    </row>
    <row r="2" ht="12.75">
      <c r="A2" s="18" t="s">
        <v>1005</v>
      </c>
    </row>
    <row r="3" ht="12.75">
      <c r="A3" s="18" t="s">
        <v>1006</v>
      </c>
    </row>
    <row r="6" ht="12.75">
      <c r="A6" t="s">
        <v>1007</v>
      </c>
    </row>
    <row r="7" ht="12.75">
      <c r="A7" t="s">
        <v>1029</v>
      </c>
    </row>
    <row r="8" ht="12.75">
      <c r="A8" t="s">
        <v>1008</v>
      </c>
    </row>
    <row r="10" ht="12.75">
      <c r="A10" t="s">
        <v>1014</v>
      </c>
    </row>
    <row r="11" ht="12.75">
      <c r="A11" t="s">
        <v>1013</v>
      </c>
    </row>
    <row r="12" ht="12.75">
      <c r="A12" t="s">
        <v>1015</v>
      </c>
    </row>
    <row r="14" ht="12.75">
      <c r="A14" t="s">
        <v>1016</v>
      </c>
    </row>
    <row r="15" ht="12.75">
      <c r="A15" t="s">
        <v>1017</v>
      </c>
    </row>
    <row r="16" ht="12.75">
      <c r="A16" t="s">
        <v>1018</v>
      </c>
    </row>
    <row r="18" ht="12.75">
      <c r="A18" t="s">
        <v>1019</v>
      </c>
    </row>
    <row r="19" ht="12.75">
      <c r="A19" t="s">
        <v>1020</v>
      </c>
    </row>
    <row r="21" ht="12.75">
      <c r="A21" t="s">
        <v>1021</v>
      </c>
    </row>
    <row r="22" ht="12.75">
      <c r="A22" t="s">
        <v>1022</v>
      </c>
    </row>
    <row r="23" ht="12.75">
      <c r="A23" t="s">
        <v>1023</v>
      </c>
    </row>
    <row r="25" ht="12.75">
      <c r="A25" t="s">
        <v>1024</v>
      </c>
    </row>
    <row r="26" ht="12.75">
      <c r="A26" t="s">
        <v>1025</v>
      </c>
    </row>
    <row r="27" ht="12.75">
      <c r="A27" t="s">
        <v>1026</v>
      </c>
    </row>
    <row r="28" ht="12.75">
      <c r="A28" t="s">
        <v>1027</v>
      </c>
    </row>
    <row r="29" ht="12.75">
      <c r="A29" t="s">
        <v>1028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F16" sqref="F16"/>
    </sheetView>
  </sheetViews>
  <sheetFormatPr defaultColWidth="9.140625" defaultRowHeight="12.75"/>
  <cols>
    <col min="1" max="1" width="9.00390625" style="0" customWidth="1"/>
    <col min="5" max="5" width="10.421875" style="0" customWidth="1"/>
    <col min="6" max="6" width="14.28125" style="0" customWidth="1"/>
    <col min="7" max="7" width="3.421875" style="0" customWidth="1"/>
    <col min="8" max="8" width="10.421875" style="0" customWidth="1"/>
    <col min="9" max="9" width="14.421875" style="0" customWidth="1"/>
  </cols>
  <sheetData>
    <row r="1" spans="1:10" ht="15">
      <c r="A1" s="3" t="s">
        <v>1062</v>
      </c>
      <c r="B1" s="1"/>
      <c r="C1" s="1"/>
      <c r="D1" s="1"/>
      <c r="E1" s="1"/>
      <c r="F1" s="1"/>
      <c r="G1" s="1"/>
      <c r="H1" s="4"/>
      <c r="I1" s="1"/>
      <c r="J1" s="1"/>
    </row>
    <row r="2" spans="1:10" ht="12.75">
      <c r="A2" s="1" t="s">
        <v>1064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1065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5" t="s">
        <v>561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5" t="s">
        <v>43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5" t="s">
        <v>566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6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5"/>
      <c r="B10" s="5"/>
      <c r="C10" s="5"/>
      <c r="D10" s="5"/>
      <c r="E10" s="600" t="s">
        <v>44</v>
      </c>
      <c r="F10" s="600"/>
      <c r="G10" s="7"/>
      <c r="H10" s="600" t="s">
        <v>45</v>
      </c>
      <c r="I10" s="600"/>
      <c r="J10" s="7"/>
    </row>
    <row r="11" spans="1:10" ht="12.75">
      <c r="A11" s="5"/>
      <c r="B11" s="5"/>
      <c r="C11" s="5"/>
      <c r="D11" s="5"/>
      <c r="E11" s="7" t="s">
        <v>46</v>
      </c>
      <c r="F11" s="7" t="s">
        <v>52</v>
      </c>
      <c r="G11" s="7"/>
      <c r="H11" s="7" t="s">
        <v>46</v>
      </c>
      <c r="I11" s="7" t="s">
        <v>52</v>
      </c>
      <c r="J11" s="7"/>
    </row>
    <row r="12" spans="1:10" ht="12.75">
      <c r="A12" s="5"/>
      <c r="B12" s="5"/>
      <c r="C12" s="5"/>
      <c r="D12" s="5"/>
      <c r="E12" s="7" t="s">
        <v>47</v>
      </c>
      <c r="F12" s="5" t="s">
        <v>50</v>
      </c>
      <c r="H12" s="7" t="s">
        <v>47</v>
      </c>
      <c r="I12" s="7" t="s">
        <v>50</v>
      </c>
      <c r="J12" s="7"/>
    </row>
    <row r="13" spans="1:10" ht="12.75">
      <c r="A13" s="5"/>
      <c r="B13" s="5"/>
      <c r="C13" s="5"/>
      <c r="D13" s="5"/>
      <c r="E13" s="9" t="s">
        <v>48</v>
      </c>
      <c r="F13" s="9" t="s">
        <v>48</v>
      </c>
      <c r="H13" s="9" t="s">
        <v>51</v>
      </c>
      <c r="I13" s="9" t="s">
        <v>53</v>
      </c>
      <c r="J13" s="7"/>
    </row>
    <row r="14" spans="1:10" ht="12.75">
      <c r="A14" s="1"/>
      <c r="B14" s="1"/>
      <c r="C14" s="1"/>
      <c r="D14" s="1"/>
      <c r="E14" s="16" t="s">
        <v>562</v>
      </c>
      <c r="F14" s="17" t="s">
        <v>563</v>
      </c>
      <c r="H14" s="16" t="s">
        <v>562</v>
      </c>
      <c r="I14" s="17" t="s">
        <v>563</v>
      </c>
      <c r="J14" s="8"/>
    </row>
    <row r="15" spans="1:10" ht="12.75">
      <c r="A15" s="1"/>
      <c r="B15" s="1"/>
      <c r="C15" s="1"/>
      <c r="D15" s="1"/>
      <c r="E15" s="7" t="s">
        <v>1067</v>
      </c>
      <c r="F15" s="7" t="s">
        <v>1067</v>
      </c>
      <c r="H15" s="7" t="s">
        <v>1067</v>
      </c>
      <c r="I15" s="7" t="s">
        <v>1067</v>
      </c>
      <c r="J15" s="8"/>
    </row>
    <row r="16" spans="1:10" ht="12.75">
      <c r="A16" s="1"/>
      <c r="B16" s="1"/>
      <c r="C16" s="1"/>
      <c r="D16" s="1"/>
      <c r="E16" s="8"/>
      <c r="H16" s="8"/>
      <c r="I16" s="8"/>
      <c r="J16" s="10"/>
    </row>
    <row r="17" spans="1:10" ht="12.75">
      <c r="A17" s="1"/>
      <c r="B17" s="1"/>
      <c r="C17" s="1"/>
      <c r="D17" s="1"/>
      <c r="E17" s="1"/>
      <c r="F17" s="7"/>
      <c r="H17" s="1"/>
      <c r="I17" s="1"/>
      <c r="J17" s="11"/>
    </row>
    <row r="18" spans="1:10" ht="12.75">
      <c r="A18" s="1" t="s">
        <v>1068</v>
      </c>
      <c r="B18" s="1" t="s">
        <v>1069</v>
      </c>
      <c r="C18" s="1"/>
      <c r="D18" s="1"/>
      <c r="E18" s="11">
        <v>506</v>
      </c>
      <c r="F18" s="8" t="s">
        <v>477</v>
      </c>
      <c r="G18" s="11"/>
      <c r="H18" s="14">
        <f>E18</f>
        <v>506</v>
      </c>
      <c r="I18" s="8" t="s">
        <v>477</v>
      </c>
      <c r="J18" s="11"/>
    </row>
    <row r="19" spans="1:10" ht="12.75">
      <c r="A19" s="1"/>
      <c r="B19" s="1"/>
      <c r="C19" s="1"/>
      <c r="D19" s="1"/>
      <c r="E19" s="11"/>
      <c r="F19" s="11"/>
      <c r="G19" s="11"/>
      <c r="H19" s="14"/>
      <c r="I19" s="11"/>
      <c r="J19" s="11"/>
    </row>
    <row r="20" spans="1:10" ht="12.75">
      <c r="A20" s="1" t="s">
        <v>1070</v>
      </c>
      <c r="B20" s="1" t="s">
        <v>1071</v>
      </c>
      <c r="C20" s="1"/>
      <c r="D20" s="1"/>
      <c r="E20" s="11">
        <v>192</v>
      </c>
      <c r="F20" s="8" t="s">
        <v>477</v>
      </c>
      <c r="G20" s="11"/>
      <c r="H20" s="14">
        <f>E20</f>
        <v>192</v>
      </c>
      <c r="I20" s="8" t="s">
        <v>477</v>
      </c>
      <c r="J20" s="11"/>
    </row>
    <row r="21" spans="1:10" ht="12.75">
      <c r="A21" s="1"/>
      <c r="B21" s="1"/>
      <c r="C21" s="1"/>
      <c r="D21" s="1"/>
      <c r="E21" s="11"/>
      <c r="F21" s="11"/>
      <c r="G21" s="11"/>
      <c r="H21" s="14"/>
      <c r="I21" s="11"/>
      <c r="J21" s="11"/>
    </row>
    <row r="22" spans="1:10" ht="12.75">
      <c r="A22" s="10" t="s">
        <v>1072</v>
      </c>
      <c r="B22" s="1" t="s">
        <v>1073</v>
      </c>
      <c r="C22" s="1"/>
      <c r="D22" s="1"/>
      <c r="E22" s="11">
        <v>121</v>
      </c>
      <c r="F22" s="8" t="s">
        <v>477</v>
      </c>
      <c r="G22" s="11"/>
      <c r="H22" s="14">
        <f>E22</f>
        <v>121</v>
      </c>
      <c r="I22" s="8" t="s">
        <v>477</v>
      </c>
      <c r="J22" s="11"/>
    </row>
    <row r="23" spans="1:10" ht="12.75">
      <c r="A23" s="1"/>
      <c r="B23" s="1"/>
      <c r="C23" s="1"/>
      <c r="D23" s="1"/>
      <c r="E23" s="11"/>
      <c r="F23" s="11"/>
      <c r="G23" s="11"/>
      <c r="H23" s="14"/>
      <c r="I23" s="11"/>
      <c r="J23" s="11"/>
    </row>
    <row r="24" spans="1:10" ht="12.75">
      <c r="A24" s="12" t="s">
        <v>1074</v>
      </c>
      <c r="B24" s="1" t="s">
        <v>1075</v>
      </c>
      <c r="C24" s="1"/>
      <c r="D24" s="1"/>
      <c r="E24" s="11"/>
      <c r="F24" s="11"/>
      <c r="G24" s="11"/>
      <c r="H24" s="14"/>
      <c r="I24" s="11"/>
      <c r="J24" s="11"/>
    </row>
    <row r="25" spans="1:10" ht="12.75">
      <c r="A25" s="1"/>
      <c r="B25" s="1" t="s">
        <v>1076</v>
      </c>
      <c r="C25" s="1"/>
      <c r="D25" s="1"/>
      <c r="E25" s="11"/>
      <c r="F25" s="11"/>
      <c r="G25" s="11"/>
      <c r="H25" s="14"/>
      <c r="I25" s="11"/>
      <c r="J25" s="11"/>
    </row>
    <row r="26" spans="1:10" ht="12.75">
      <c r="A26" s="1"/>
      <c r="B26" s="1" t="s">
        <v>1077</v>
      </c>
      <c r="C26" s="1"/>
      <c r="D26" s="1"/>
      <c r="E26" s="11"/>
      <c r="F26" s="11"/>
      <c r="G26" s="11"/>
      <c r="H26" s="14"/>
      <c r="I26" s="11"/>
      <c r="J26" s="11"/>
    </row>
    <row r="27" spans="1:10" ht="12.75">
      <c r="A27" s="1"/>
      <c r="B27" s="1" t="s">
        <v>1078</v>
      </c>
      <c r="C27" s="1"/>
      <c r="D27" s="1"/>
      <c r="E27" s="11"/>
      <c r="F27" s="11"/>
      <c r="G27" s="11"/>
      <c r="H27" s="14"/>
      <c r="I27" s="11"/>
      <c r="J27" s="11"/>
    </row>
    <row r="28" spans="2:10" ht="12.75">
      <c r="B28" s="1" t="s">
        <v>1079</v>
      </c>
      <c r="E28" s="11" t="e">
        <f>#REF!</f>
        <v>#REF!</v>
      </c>
      <c r="F28" s="8" t="s">
        <v>477</v>
      </c>
      <c r="G28" s="11"/>
      <c r="H28" s="14" t="e">
        <f>E28</f>
        <v>#REF!</v>
      </c>
      <c r="I28" s="8" t="s">
        <v>477</v>
      </c>
      <c r="J28" s="11"/>
    </row>
    <row r="29" spans="1:10" ht="12.75">
      <c r="A29" s="12"/>
      <c r="B29" s="1"/>
      <c r="C29" s="1"/>
      <c r="D29" s="1"/>
      <c r="E29" s="11"/>
      <c r="F29" s="11"/>
      <c r="G29" s="11"/>
      <c r="H29" s="14"/>
      <c r="I29" s="11"/>
      <c r="J29" s="11"/>
    </row>
    <row r="30" spans="1:10" ht="12.75">
      <c r="A30" s="12" t="s">
        <v>1070</v>
      </c>
      <c r="B30" s="1" t="s">
        <v>1080</v>
      </c>
      <c r="C30" s="1"/>
      <c r="D30" s="1"/>
      <c r="E30" s="11">
        <v>2</v>
      </c>
      <c r="F30" s="8" t="s">
        <v>477</v>
      </c>
      <c r="G30" s="11"/>
      <c r="H30" s="96">
        <f>E30</f>
        <v>2</v>
      </c>
      <c r="I30" s="8" t="s">
        <v>477</v>
      </c>
      <c r="J30" s="11"/>
    </row>
    <row r="31" spans="1:10" ht="12.75">
      <c r="A31" s="12"/>
      <c r="B31" s="1"/>
      <c r="C31" s="1"/>
      <c r="D31" s="1"/>
      <c r="E31" s="11"/>
      <c r="F31" s="11"/>
      <c r="G31" s="11"/>
      <c r="H31" s="14"/>
      <c r="I31" s="11"/>
      <c r="J31" s="11"/>
    </row>
    <row r="32" spans="1:10" ht="12.75">
      <c r="A32" s="1" t="s">
        <v>1081</v>
      </c>
      <c r="B32" s="1" t="s">
        <v>1082</v>
      </c>
      <c r="C32" s="1"/>
      <c r="D32" s="1"/>
      <c r="E32" s="11">
        <v>42</v>
      </c>
      <c r="F32" s="8" t="s">
        <v>477</v>
      </c>
      <c r="G32" s="11"/>
      <c r="H32" s="14">
        <f>E32</f>
        <v>42</v>
      </c>
      <c r="I32" s="8" t="s">
        <v>477</v>
      </c>
      <c r="J32" s="11"/>
    </row>
    <row r="33" spans="1:10" ht="12.75">
      <c r="A33" s="1"/>
      <c r="B33" s="1"/>
      <c r="C33" s="1"/>
      <c r="D33" s="1"/>
      <c r="E33" s="11"/>
      <c r="F33" s="11"/>
      <c r="G33" s="11"/>
      <c r="H33" s="14"/>
      <c r="I33" s="11"/>
      <c r="J33" s="11"/>
    </row>
    <row r="34" spans="1:10" ht="12.75">
      <c r="A34" s="1" t="s">
        <v>1083</v>
      </c>
      <c r="B34" s="1" t="s">
        <v>1084</v>
      </c>
      <c r="C34" s="1"/>
      <c r="D34" s="1"/>
      <c r="E34" s="11" t="e">
        <f>#REF!</f>
        <v>#REF!</v>
      </c>
      <c r="F34" s="8" t="s">
        <v>477</v>
      </c>
      <c r="G34" s="11"/>
      <c r="H34" s="14" t="e">
        <f>#REF!</f>
        <v>#REF!</v>
      </c>
      <c r="I34" s="8" t="s">
        <v>477</v>
      </c>
      <c r="J34" s="11"/>
    </row>
    <row r="35" spans="1:10" ht="12.75">
      <c r="A35" s="1"/>
      <c r="B35" s="1"/>
      <c r="C35" s="1"/>
      <c r="D35" s="1"/>
      <c r="E35" s="11"/>
      <c r="F35" s="11"/>
      <c r="G35" s="11"/>
      <c r="H35" s="14"/>
      <c r="I35" s="11"/>
      <c r="J35" s="11"/>
    </row>
    <row r="36" spans="1:10" ht="12.75">
      <c r="A36" s="1" t="s">
        <v>1085</v>
      </c>
      <c r="B36" s="1" t="s">
        <v>1086</v>
      </c>
      <c r="C36" s="1"/>
      <c r="D36" s="1"/>
      <c r="E36" s="11"/>
      <c r="F36" s="11"/>
      <c r="G36" s="11"/>
      <c r="H36" s="14"/>
      <c r="I36" s="11"/>
      <c r="J36" s="11"/>
    </row>
    <row r="37" spans="1:10" ht="12.75">
      <c r="A37" s="1"/>
      <c r="B37" s="1" t="s">
        <v>1087</v>
      </c>
      <c r="C37" s="1"/>
      <c r="D37" s="1"/>
      <c r="E37" s="11"/>
      <c r="F37" s="11"/>
      <c r="G37" s="11"/>
      <c r="H37" s="14"/>
      <c r="I37" s="11"/>
      <c r="J37" s="11"/>
    </row>
    <row r="38" spans="1:10" ht="12.75">
      <c r="A38" s="1"/>
      <c r="B38" s="1" t="s">
        <v>1088</v>
      </c>
      <c r="C38" s="1"/>
      <c r="D38" s="1"/>
      <c r="E38" s="11"/>
      <c r="F38" s="11"/>
      <c r="G38" s="11"/>
      <c r="H38" s="14"/>
      <c r="I38" s="11"/>
      <c r="J38" s="11"/>
    </row>
    <row r="39" spans="1:10" ht="12.75">
      <c r="A39" s="13"/>
      <c r="B39" s="1" t="s">
        <v>1089</v>
      </c>
      <c r="C39" s="1"/>
      <c r="D39" s="1"/>
      <c r="E39" s="11"/>
      <c r="F39" s="11"/>
      <c r="G39" s="11"/>
      <c r="H39" s="14"/>
      <c r="I39" s="11"/>
      <c r="J39" s="11"/>
    </row>
    <row r="40" spans="1:10" ht="12.75">
      <c r="A40" s="1"/>
      <c r="B40" s="1" t="s">
        <v>1090</v>
      </c>
      <c r="C40" s="1"/>
      <c r="D40" s="1"/>
      <c r="E40" s="11" t="e">
        <f>E28-E30-E32</f>
        <v>#REF!</v>
      </c>
      <c r="F40" s="8" t="s">
        <v>477</v>
      </c>
      <c r="G40" s="11"/>
      <c r="H40" s="14" t="e">
        <f>H28-H30-H32</f>
        <v>#REF!</v>
      </c>
      <c r="I40" s="8" t="s">
        <v>477</v>
      </c>
      <c r="J40" s="11"/>
    </row>
    <row r="41" spans="1:10" ht="12.75">
      <c r="A41" s="1"/>
      <c r="B41" s="1"/>
      <c r="C41" s="1"/>
      <c r="D41" s="1"/>
      <c r="E41" s="11"/>
      <c r="F41" s="11"/>
      <c r="G41" s="11"/>
      <c r="H41" s="14"/>
      <c r="I41" s="11"/>
      <c r="J41" s="11"/>
    </row>
    <row r="42" spans="1:13" ht="12.75">
      <c r="A42" s="8" t="s">
        <v>0</v>
      </c>
      <c r="B42" s="1" t="s">
        <v>1</v>
      </c>
      <c r="C42" s="1"/>
      <c r="D42" s="1"/>
      <c r="E42" s="11"/>
      <c r="F42" s="11"/>
      <c r="G42" s="11"/>
      <c r="H42" s="14"/>
      <c r="I42" s="11"/>
      <c r="J42" s="14"/>
      <c r="K42" s="1"/>
      <c r="L42" s="1"/>
      <c r="M42" s="1"/>
    </row>
    <row r="43" spans="1:13" ht="12.75">
      <c r="A43" s="8"/>
      <c r="B43" s="1" t="s">
        <v>2</v>
      </c>
      <c r="C43" s="1"/>
      <c r="D43" s="1"/>
      <c r="E43" s="11" t="e">
        <f>#REF!</f>
        <v>#REF!</v>
      </c>
      <c r="F43" s="8" t="s">
        <v>477</v>
      </c>
      <c r="G43" s="11"/>
      <c r="H43" s="14" t="e">
        <f>#REF!</f>
        <v>#REF!</v>
      </c>
      <c r="I43" s="8" t="s">
        <v>477</v>
      </c>
      <c r="J43" s="14"/>
      <c r="K43" s="1"/>
      <c r="L43" s="1"/>
      <c r="M43" s="1"/>
    </row>
    <row r="44" spans="1:13" ht="12.75">
      <c r="A44" s="8"/>
      <c r="B44" s="1"/>
      <c r="C44" s="1"/>
      <c r="D44" s="1"/>
      <c r="E44" s="11"/>
      <c r="F44" s="11"/>
      <c r="G44" s="11"/>
      <c r="H44" s="14"/>
      <c r="I44" s="11"/>
      <c r="J44" s="1"/>
      <c r="K44" s="1"/>
      <c r="L44" s="1"/>
      <c r="M44" s="1"/>
    </row>
    <row r="45" spans="1:13" ht="12.75">
      <c r="A45" s="8" t="s">
        <v>3</v>
      </c>
      <c r="B45" s="1" t="s">
        <v>4</v>
      </c>
      <c r="C45" s="1"/>
      <c r="D45" s="1"/>
      <c r="E45" s="11"/>
      <c r="F45" s="11"/>
      <c r="G45" s="11"/>
      <c r="H45" s="14"/>
      <c r="I45" s="11"/>
      <c r="J45" s="1"/>
      <c r="K45" s="1"/>
      <c r="L45" s="1"/>
      <c r="M45" s="1"/>
    </row>
    <row r="46" spans="1:13" ht="12.75">
      <c r="A46" s="8"/>
      <c r="B46" s="1" t="s">
        <v>5</v>
      </c>
      <c r="C46" s="1"/>
      <c r="D46" s="1"/>
      <c r="E46" s="11" t="e">
        <f>E40</f>
        <v>#REF!</v>
      </c>
      <c r="F46" s="8" t="s">
        <v>477</v>
      </c>
      <c r="G46" s="11"/>
      <c r="H46" s="14" t="e">
        <f>H40+H43</f>
        <v>#REF!</v>
      </c>
      <c r="I46" s="8" t="s">
        <v>477</v>
      </c>
      <c r="J46" s="1"/>
      <c r="K46" s="1"/>
      <c r="L46" s="1"/>
      <c r="M46" s="1"/>
    </row>
    <row r="47" spans="1:13" ht="12.75">
      <c r="A47" s="8"/>
      <c r="B47" s="1"/>
      <c r="C47" s="1"/>
      <c r="D47" s="1"/>
      <c r="E47" s="11"/>
      <c r="F47" s="11"/>
      <c r="G47" s="11"/>
      <c r="H47" s="14"/>
      <c r="I47" s="11"/>
      <c r="J47" s="1"/>
      <c r="K47" s="1"/>
      <c r="L47" s="1"/>
      <c r="M47" s="1"/>
    </row>
    <row r="48" spans="1:13" ht="12.75">
      <c r="A48" s="8" t="s">
        <v>6</v>
      </c>
      <c r="B48" s="1" t="s">
        <v>7</v>
      </c>
      <c r="C48" s="1"/>
      <c r="D48" s="1"/>
      <c r="E48" s="11">
        <v>115</v>
      </c>
      <c r="F48" s="8" t="s">
        <v>477</v>
      </c>
      <c r="G48" s="11"/>
      <c r="H48" s="14">
        <v>115</v>
      </c>
      <c r="I48" s="8" t="s">
        <v>477</v>
      </c>
      <c r="J48" s="1"/>
      <c r="K48" s="1"/>
      <c r="L48" s="1"/>
      <c r="M48" s="1"/>
    </row>
    <row r="49" spans="1:13" ht="12.75">
      <c r="A49" s="8"/>
      <c r="B49" s="1"/>
      <c r="C49" s="1"/>
      <c r="D49" s="1"/>
      <c r="E49" s="11"/>
      <c r="F49" s="11"/>
      <c r="G49" s="11"/>
      <c r="H49" s="14"/>
      <c r="I49" s="11"/>
      <c r="J49" s="1"/>
      <c r="K49" s="1"/>
      <c r="L49" s="1"/>
      <c r="M49" s="1"/>
    </row>
    <row r="50" spans="1:13" ht="12.75">
      <c r="A50" s="8" t="s">
        <v>8</v>
      </c>
      <c r="B50" s="1" t="s">
        <v>25</v>
      </c>
      <c r="C50" s="1"/>
      <c r="D50" s="1"/>
      <c r="E50" s="11"/>
      <c r="F50" s="11"/>
      <c r="G50" s="11"/>
      <c r="H50" s="14"/>
      <c r="I50" s="11"/>
      <c r="J50" s="1"/>
      <c r="K50" s="1"/>
      <c r="L50" s="1"/>
      <c r="M50" s="1"/>
    </row>
    <row r="51" spans="1:13" ht="12.75">
      <c r="A51" s="8"/>
      <c r="B51" s="1" t="s">
        <v>26</v>
      </c>
      <c r="C51" s="1"/>
      <c r="D51" s="1"/>
      <c r="E51" s="11" t="e">
        <f>E46-E48</f>
        <v>#REF!</v>
      </c>
      <c r="F51" s="8" t="s">
        <v>477</v>
      </c>
      <c r="G51" s="11"/>
      <c r="H51" s="14" t="e">
        <f>H46-H48</f>
        <v>#REF!</v>
      </c>
      <c r="I51" s="8" t="s">
        <v>477</v>
      </c>
      <c r="J51" s="1"/>
      <c r="K51" s="1"/>
      <c r="L51" s="1"/>
      <c r="M51" s="1"/>
    </row>
    <row r="52" spans="1:13" ht="12.75">
      <c r="A52" s="8"/>
      <c r="B52" s="1"/>
      <c r="C52" s="1"/>
      <c r="D52" s="1"/>
      <c r="E52" s="11"/>
      <c r="F52" s="11"/>
      <c r="G52" s="11"/>
      <c r="H52" s="14"/>
      <c r="I52" s="11"/>
      <c r="J52" s="1"/>
      <c r="K52" s="1"/>
      <c r="L52" s="1"/>
      <c r="M52" s="1"/>
    </row>
    <row r="53" spans="1:13" ht="12.75">
      <c r="A53" s="8"/>
      <c r="B53" s="1" t="s">
        <v>32</v>
      </c>
      <c r="C53" s="1"/>
      <c r="D53" s="1"/>
      <c r="E53" s="11" t="e">
        <f>#REF!</f>
        <v>#REF!</v>
      </c>
      <c r="F53" s="8" t="s">
        <v>477</v>
      </c>
      <c r="G53" s="11"/>
      <c r="H53" s="14">
        <v>0</v>
      </c>
      <c r="I53" s="8" t="s">
        <v>477</v>
      </c>
      <c r="J53" s="1"/>
      <c r="K53" s="1"/>
      <c r="L53" s="1"/>
      <c r="M53" s="1"/>
    </row>
    <row r="54" spans="1:13" ht="12.75">
      <c r="A54" s="8"/>
      <c r="B54" s="1"/>
      <c r="C54" s="1"/>
      <c r="D54" s="1"/>
      <c r="E54" s="11"/>
      <c r="F54" s="11"/>
      <c r="G54" s="11"/>
      <c r="H54" s="14"/>
      <c r="I54" s="11"/>
      <c r="J54" s="1"/>
      <c r="K54" s="1"/>
      <c r="L54" s="1"/>
      <c r="M54" s="1"/>
    </row>
    <row r="55" spans="1:13" ht="12.75">
      <c r="A55" s="8" t="s">
        <v>27</v>
      </c>
      <c r="B55" s="1" t="s">
        <v>28</v>
      </c>
      <c r="C55" s="1"/>
      <c r="D55" s="1"/>
      <c r="E55" s="11"/>
      <c r="F55" s="11"/>
      <c r="G55" s="11"/>
      <c r="H55" s="14"/>
      <c r="I55" s="11"/>
      <c r="J55" s="1"/>
      <c r="K55" s="1"/>
      <c r="L55" s="1"/>
      <c r="M55" s="1"/>
    </row>
    <row r="56" spans="2:13" ht="12.75">
      <c r="B56" s="1" t="s">
        <v>29</v>
      </c>
      <c r="C56" s="1"/>
      <c r="D56" s="1"/>
      <c r="E56" s="11" t="e">
        <f>E51-E53</f>
        <v>#REF!</v>
      </c>
      <c r="F56" s="8" t="s">
        <v>477</v>
      </c>
      <c r="G56" s="11"/>
      <c r="H56" s="14" t="e">
        <f>H51-H53</f>
        <v>#REF!</v>
      </c>
      <c r="I56" s="8" t="s">
        <v>477</v>
      </c>
      <c r="J56" s="1"/>
      <c r="K56" s="1"/>
      <c r="L56" s="1"/>
      <c r="M56" s="1"/>
    </row>
    <row r="57" spans="2:13" ht="12.75">
      <c r="B57" s="1"/>
      <c r="C57" s="1"/>
      <c r="D57" s="1"/>
      <c r="E57" s="11"/>
      <c r="F57" s="11"/>
      <c r="G57" s="11"/>
      <c r="H57" s="14"/>
      <c r="I57" s="11"/>
      <c r="J57" s="1"/>
      <c r="K57" s="1"/>
      <c r="L57" s="1"/>
      <c r="M57" s="1"/>
    </row>
    <row r="58" spans="1:13" ht="12.75">
      <c r="A58" s="8" t="s">
        <v>30</v>
      </c>
      <c r="B58" s="1" t="s">
        <v>31</v>
      </c>
      <c r="C58" s="1"/>
      <c r="D58" s="1"/>
      <c r="E58" s="11">
        <v>0</v>
      </c>
      <c r="F58" s="8" t="s">
        <v>477</v>
      </c>
      <c r="G58" s="11"/>
      <c r="H58" s="14">
        <v>0</v>
      </c>
      <c r="I58" s="8" t="s">
        <v>477</v>
      </c>
      <c r="J58" s="1"/>
      <c r="K58" s="1"/>
      <c r="L58" s="1"/>
      <c r="M58" s="1"/>
    </row>
    <row r="59" spans="1:13" ht="12.75">
      <c r="A59" s="8"/>
      <c r="B59" s="1" t="s">
        <v>32</v>
      </c>
      <c r="C59" s="1"/>
      <c r="D59" s="1"/>
      <c r="E59" s="11">
        <v>0</v>
      </c>
      <c r="F59" s="8" t="s">
        <v>477</v>
      </c>
      <c r="G59" s="11"/>
      <c r="H59" s="14">
        <v>0</v>
      </c>
      <c r="I59" s="8" t="s">
        <v>477</v>
      </c>
      <c r="J59" s="1"/>
      <c r="K59" s="1"/>
      <c r="L59" s="1"/>
      <c r="M59" s="1"/>
    </row>
    <row r="60" spans="1:13" ht="12.75">
      <c r="A60" s="8"/>
      <c r="B60" s="1" t="s">
        <v>33</v>
      </c>
      <c r="C60" s="1"/>
      <c r="D60" s="1"/>
      <c r="E60" s="11"/>
      <c r="F60" s="11"/>
      <c r="G60" s="11"/>
      <c r="H60" s="14"/>
      <c r="I60" s="11"/>
      <c r="J60" s="1"/>
      <c r="K60" s="1"/>
      <c r="L60" s="1"/>
      <c r="M60" s="1"/>
    </row>
    <row r="61" spans="1:13" ht="12.75">
      <c r="A61" s="8"/>
      <c r="B61" s="1" t="s">
        <v>34</v>
      </c>
      <c r="C61" s="1"/>
      <c r="D61" s="1"/>
      <c r="E61" s="11">
        <v>0</v>
      </c>
      <c r="F61" s="8" t="s">
        <v>477</v>
      </c>
      <c r="G61" s="11"/>
      <c r="H61" s="14">
        <v>0</v>
      </c>
      <c r="I61" s="8" t="s">
        <v>477</v>
      </c>
      <c r="J61" s="1"/>
      <c r="K61" s="1"/>
      <c r="L61" s="1"/>
      <c r="M61" s="1"/>
    </row>
    <row r="62" spans="1:13" ht="12.75">
      <c r="A62" s="8"/>
      <c r="B62" s="1"/>
      <c r="C62" s="1"/>
      <c r="D62" s="1"/>
      <c r="E62" s="11"/>
      <c r="F62" s="11"/>
      <c r="G62" s="11"/>
      <c r="H62" s="14"/>
      <c r="I62" s="11"/>
      <c r="J62" s="1"/>
      <c r="K62" s="1"/>
      <c r="L62" s="1"/>
      <c r="M62" s="1"/>
    </row>
    <row r="63" spans="1:13" ht="12.75">
      <c r="A63" s="8" t="s">
        <v>35</v>
      </c>
      <c r="B63" s="1" t="s">
        <v>36</v>
      </c>
      <c r="C63" s="1"/>
      <c r="D63" s="1"/>
      <c r="E63" s="11"/>
      <c r="F63" s="11"/>
      <c r="G63" s="11"/>
      <c r="H63" s="14"/>
      <c r="I63" s="11"/>
      <c r="J63" s="1"/>
      <c r="K63" s="1"/>
      <c r="L63" s="1"/>
      <c r="M63" s="1"/>
    </row>
    <row r="64" spans="1:13" ht="12.75">
      <c r="A64" s="8"/>
      <c r="B64" s="1" t="s">
        <v>37</v>
      </c>
      <c r="C64" s="1"/>
      <c r="D64" s="1"/>
      <c r="E64" s="11"/>
      <c r="F64" s="11"/>
      <c r="G64" s="11"/>
      <c r="H64" s="14"/>
      <c r="I64" s="11"/>
      <c r="J64" s="1"/>
      <c r="K64" s="1"/>
      <c r="L64" s="1"/>
      <c r="M64" s="1"/>
    </row>
    <row r="65" spans="1:13" ht="12.75">
      <c r="A65" s="8"/>
      <c r="B65" s="1" t="s">
        <v>38</v>
      </c>
      <c r="C65" s="1"/>
      <c r="D65" s="1"/>
      <c r="E65" s="11" t="e">
        <f>E56-E61</f>
        <v>#REF!</v>
      </c>
      <c r="F65" s="8" t="s">
        <v>477</v>
      </c>
      <c r="G65" s="11"/>
      <c r="H65" s="14" t="e">
        <f>H56-H61</f>
        <v>#REF!</v>
      </c>
      <c r="I65" s="8" t="s">
        <v>477</v>
      </c>
      <c r="J65" s="1"/>
      <c r="K65" s="1"/>
      <c r="L65" s="1"/>
      <c r="M65" s="1"/>
    </row>
    <row r="66" spans="1:13" ht="12.75">
      <c r="A66" s="8"/>
      <c r="B66" s="1"/>
      <c r="C66" s="1"/>
      <c r="D66" s="1"/>
      <c r="E66" s="11"/>
      <c r="F66" s="11"/>
      <c r="G66" s="11"/>
      <c r="H66" s="14"/>
      <c r="I66" s="11"/>
      <c r="J66" s="1"/>
      <c r="K66" s="1"/>
      <c r="L66" s="1"/>
      <c r="M66" s="1"/>
    </row>
    <row r="67" spans="1:13" ht="12.75">
      <c r="A67" s="8" t="s">
        <v>39</v>
      </c>
      <c r="B67" s="1" t="s">
        <v>40</v>
      </c>
      <c r="C67" s="1"/>
      <c r="D67" s="1"/>
      <c r="E67" s="11"/>
      <c r="F67" s="11"/>
      <c r="G67" s="11"/>
      <c r="H67" s="14"/>
      <c r="I67" s="11"/>
      <c r="J67" s="1"/>
      <c r="K67" s="1"/>
      <c r="L67" s="1"/>
      <c r="M67" s="1"/>
    </row>
    <row r="68" spans="1:13" ht="12.75">
      <c r="A68" s="8"/>
      <c r="B68" s="1" t="s">
        <v>41</v>
      </c>
      <c r="C68" s="1"/>
      <c r="D68" s="1"/>
      <c r="E68" s="11"/>
      <c r="F68" s="11"/>
      <c r="G68" s="11"/>
      <c r="H68" s="14"/>
      <c r="I68" s="11"/>
      <c r="J68" s="1"/>
      <c r="K68" s="1"/>
      <c r="L68" s="1"/>
      <c r="M68" s="1"/>
    </row>
    <row r="69" spans="1:13" ht="12.75">
      <c r="A69" s="8"/>
      <c r="B69" s="1" t="s">
        <v>42</v>
      </c>
      <c r="C69" s="1"/>
      <c r="D69" s="1"/>
      <c r="E69" s="11"/>
      <c r="F69" s="11"/>
      <c r="G69" s="11"/>
      <c r="H69" s="14"/>
      <c r="I69" s="11"/>
      <c r="J69" s="1"/>
      <c r="K69" s="1"/>
      <c r="L69" s="1"/>
      <c r="M69" s="1"/>
    </row>
    <row r="70" spans="1:13" ht="12.75">
      <c r="A70" s="8"/>
      <c r="B70" s="1"/>
      <c r="C70" s="1"/>
      <c r="D70" s="1"/>
      <c r="E70" s="11"/>
      <c r="F70" s="11"/>
      <c r="G70" s="11"/>
      <c r="H70" s="14"/>
      <c r="I70" s="11"/>
      <c r="J70" s="1"/>
      <c r="K70" s="1"/>
      <c r="L70" s="1"/>
      <c r="M70" s="1"/>
    </row>
    <row r="71" spans="1:13" ht="12.75">
      <c r="A71" s="8"/>
      <c r="B71" s="1" t="s">
        <v>484</v>
      </c>
      <c r="C71" s="1"/>
      <c r="D71" s="1"/>
      <c r="E71" s="11"/>
      <c r="F71" s="11"/>
      <c r="G71" s="11"/>
      <c r="H71" s="14"/>
      <c r="I71" s="11"/>
      <c r="J71" s="1"/>
      <c r="K71" s="1"/>
      <c r="L71" s="1"/>
      <c r="M71" s="1"/>
    </row>
    <row r="72" spans="1:13" ht="12.75">
      <c r="A72" s="8"/>
      <c r="B72" s="1" t="s">
        <v>487</v>
      </c>
      <c r="C72" s="1"/>
      <c r="D72" s="1"/>
      <c r="E72" s="15">
        <v>0</v>
      </c>
      <c r="F72" s="8" t="s">
        <v>477</v>
      </c>
      <c r="G72" s="11"/>
      <c r="H72" s="98">
        <v>0</v>
      </c>
      <c r="I72" s="8" t="s">
        <v>477</v>
      </c>
      <c r="J72" s="1"/>
      <c r="K72" s="1"/>
      <c r="L72" s="1"/>
      <c r="M72" s="1"/>
    </row>
    <row r="73" spans="1:13" ht="12.75">
      <c r="A73" s="8"/>
      <c r="B73" s="1"/>
      <c r="C73" s="1"/>
      <c r="D73" s="1"/>
      <c r="E73" s="11"/>
      <c r="F73" s="11"/>
      <c r="G73" s="11"/>
      <c r="H73" s="14"/>
      <c r="I73" s="11"/>
      <c r="J73" s="1"/>
      <c r="K73" s="1"/>
      <c r="L73" s="1"/>
      <c r="M73" s="1"/>
    </row>
    <row r="74" spans="1:13" ht="12.75">
      <c r="A74" s="8"/>
      <c r="B74" s="1" t="s">
        <v>485</v>
      </c>
      <c r="C74" s="1"/>
      <c r="D74" s="1"/>
      <c r="E74" s="11"/>
      <c r="F74" s="11"/>
      <c r="G74" s="11"/>
      <c r="H74" s="14"/>
      <c r="I74" s="11"/>
      <c r="J74" s="1"/>
      <c r="K74" s="1"/>
      <c r="L74" s="1"/>
      <c r="M74" s="1"/>
    </row>
    <row r="75" spans="1:13" ht="12.75">
      <c r="A75" s="8"/>
      <c r="B75" s="1" t="s">
        <v>486</v>
      </c>
      <c r="C75" s="1"/>
      <c r="D75" s="1"/>
      <c r="E75" s="80">
        <v>0</v>
      </c>
      <c r="F75" s="80">
        <v>0</v>
      </c>
      <c r="G75" s="11"/>
      <c r="H75" s="98">
        <v>0</v>
      </c>
      <c r="I75" s="80">
        <v>0</v>
      </c>
      <c r="J75" s="1"/>
      <c r="K75" s="1"/>
      <c r="L75" s="1"/>
      <c r="M75" s="1"/>
    </row>
    <row r="76" spans="1:13" ht="12.75">
      <c r="A76" s="8"/>
      <c r="B76" s="1"/>
      <c r="C76" s="1"/>
      <c r="D76" s="1"/>
      <c r="E76" s="11"/>
      <c r="F76" s="11"/>
      <c r="G76" s="11"/>
      <c r="H76" s="14"/>
      <c r="I76" s="97"/>
      <c r="J76" s="1"/>
      <c r="K76" s="1"/>
      <c r="L76" s="1"/>
      <c r="M76" s="1"/>
    </row>
  </sheetData>
  <mergeCells count="2">
    <mergeCell ref="H10:I10"/>
    <mergeCell ref="E10:F10"/>
  </mergeCells>
  <printOptions horizontalCentered="1"/>
  <pageMargins left="0.75" right="0.75" top="1" bottom="1" header="0.5" footer="0.5"/>
  <pageSetup horizontalDpi="360" verticalDpi="36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64">
      <pane xSplit="1" topLeftCell="F1" activePane="topRight" state="frozen"/>
      <selection pane="topLeft" activeCell="A54" sqref="A54"/>
      <selection pane="topRight" activeCell="N64" sqref="N64"/>
    </sheetView>
  </sheetViews>
  <sheetFormatPr defaultColWidth="9.140625" defaultRowHeight="12.75"/>
  <cols>
    <col min="1" max="1" width="26.140625" style="0" customWidth="1"/>
    <col min="2" max="2" width="9.8515625" style="0" customWidth="1"/>
    <col min="3" max="3" width="8.7109375" style="0" customWidth="1"/>
    <col min="5" max="5" width="9.7109375" style="0" customWidth="1"/>
    <col min="6" max="6" width="8.57421875" style="0" customWidth="1"/>
    <col min="7" max="7" width="9.28125" style="0" bestFit="1" customWidth="1"/>
    <col min="8" max="8" width="8.00390625" style="0" customWidth="1"/>
    <col min="9" max="9" width="8.7109375" style="0" customWidth="1"/>
    <col min="10" max="10" width="8.140625" style="0" customWidth="1"/>
    <col min="11" max="11" width="9.8515625" style="0" customWidth="1"/>
    <col min="12" max="12" width="8.7109375" style="0" customWidth="1"/>
    <col min="13" max="13" width="8.8515625" style="0" customWidth="1"/>
    <col min="14" max="14" width="9.00390625" style="0" customWidth="1"/>
    <col min="15" max="15" width="8.57421875" style="0" customWidth="1"/>
    <col min="16" max="16" width="9.28125" style="0" bestFit="1" customWidth="1"/>
  </cols>
  <sheetData>
    <row r="1" spans="1:14" ht="12.75">
      <c r="A1" s="5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254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519" t="s">
        <v>96</v>
      </c>
      <c r="C4" s="519" t="s">
        <v>329</v>
      </c>
      <c r="D4" s="519" t="s">
        <v>115</v>
      </c>
      <c r="E4" s="519" t="s">
        <v>877</v>
      </c>
      <c r="F4" s="519" t="s">
        <v>116</v>
      </c>
      <c r="G4" s="519" t="s">
        <v>101</v>
      </c>
      <c r="H4" s="519" t="s">
        <v>102</v>
      </c>
      <c r="I4" s="519" t="s">
        <v>328</v>
      </c>
      <c r="J4" s="519" t="s">
        <v>104</v>
      </c>
      <c r="K4" s="7" t="s">
        <v>105</v>
      </c>
      <c r="L4" s="600" t="s">
        <v>117</v>
      </c>
      <c r="M4" s="600"/>
      <c r="N4" s="7" t="s">
        <v>118</v>
      </c>
    </row>
    <row r="5" spans="1:14" ht="12.75">
      <c r="A5" s="1"/>
      <c r="B5" s="398"/>
      <c r="C5" s="398" t="s">
        <v>330</v>
      </c>
      <c r="D5" s="519"/>
      <c r="E5" s="519" t="s">
        <v>878</v>
      </c>
      <c r="F5" s="519"/>
      <c r="G5" s="398"/>
      <c r="H5" s="398"/>
      <c r="I5" s="398" t="s">
        <v>111</v>
      </c>
      <c r="J5" s="398"/>
      <c r="K5" s="7"/>
      <c r="L5" s="7" t="s">
        <v>649</v>
      </c>
      <c r="M5" s="7" t="s">
        <v>650</v>
      </c>
      <c r="N5" s="7"/>
    </row>
    <row r="6" spans="1:14" ht="12.75">
      <c r="A6" s="2" t="s">
        <v>119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6" customHeight="1">
      <c r="A7" s="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1" t="s">
        <v>120</v>
      </c>
      <c r="B8" s="11">
        <f>999+12+7+2</f>
        <v>1020</v>
      </c>
      <c r="C8" s="11">
        <v>113</v>
      </c>
      <c r="D8" s="11">
        <v>247</v>
      </c>
      <c r="E8" s="11">
        <f>100</f>
        <v>100</v>
      </c>
      <c r="F8" s="11">
        <v>1867</v>
      </c>
      <c r="G8" s="11">
        <v>1046</v>
      </c>
      <c r="H8" s="11">
        <v>1</v>
      </c>
      <c r="I8" s="11">
        <v>3</v>
      </c>
      <c r="J8" s="11">
        <v>2</v>
      </c>
      <c r="K8" s="11">
        <f aca="true" t="shared" si="0" ref="K8:K19">SUM(B8:J8)</f>
        <v>4399</v>
      </c>
      <c r="L8" s="11"/>
      <c r="M8" s="11"/>
      <c r="N8" s="11">
        <f>K8</f>
        <v>4399</v>
      </c>
    </row>
    <row r="9" spans="1:14" ht="12.75">
      <c r="A9" s="1" t="s">
        <v>121</v>
      </c>
      <c r="B9" s="11">
        <v>460</v>
      </c>
      <c r="C9" s="11">
        <v>4377</v>
      </c>
      <c r="D9" s="11">
        <v>2559</v>
      </c>
      <c r="E9" s="11">
        <v>0</v>
      </c>
      <c r="F9" s="11">
        <v>0</v>
      </c>
      <c r="G9" s="11">
        <v>3316</v>
      </c>
      <c r="H9" s="11">
        <v>40</v>
      </c>
      <c r="I9" s="11">
        <v>0</v>
      </c>
      <c r="J9" s="11">
        <v>0</v>
      </c>
      <c r="K9" s="11">
        <f t="shared" si="0"/>
        <v>10752</v>
      </c>
      <c r="L9" s="11"/>
      <c r="M9" s="11"/>
      <c r="N9" s="11">
        <f>K9</f>
        <v>10752</v>
      </c>
    </row>
    <row r="10" spans="1:14" ht="12.75">
      <c r="A10" s="1" t="s">
        <v>224</v>
      </c>
      <c r="B10" s="11">
        <v>0</v>
      </c>
      <c r="C10" s="11">
        <f>22913+298</f>
        <v>23211</v>
      </c>
      <c r="D10" s="11">
        <v>27009</v>
      </c>
      <c r="E10" s="11">
        <v>0</v>
      </c>
      <c r="F10" s="11">
        <v>1481</v>
      </c>
      <c r="G10" s="11">
        <v>54636</v>
      </c>
      <c r="H10" s="11">
        <v>0</v>
      </c>
      <c r="I10" s="11">
        <v>0</v>
      </c>
      <c r="J10" s="11">
        <v>0</v>
      </c>
      <c r="K10" s="11">
        <f t="shared" si="0"/>
        <v>106337</v>
      </c>
      <c r="L10" s="11"/>
      <c r="M10" s="11"/>
      <c r="N10" s="11">
        <f>K10-L10</f>
        <v>106337</v>
      </c>
    </row>
    <row r="11" spans="1:14" ht="12.75">
      <c r="A11" s="1" t="s">
        <v>593</v>
      </c>
      <c r="B11" s="11">
        <v>0</v>
      </c>
      <c r="C11" s="11">
        <v>0</v>
      </c>
      <c r="D11" s="11">
        <v>19973</v>
      </c>
      <c r="E11" s="11">
        <v>0</v>
      </c>
      <c r="F11" s="11">
        <v>150</v>
      </c>
      <c r="G11" s="11">
        <v>0</v>
      </c>
      <c r="H11" s="11">
        <v>0</v>
      </c>
      <c r="I11" s="11">
        <v>0</v>
      </c>
      <c r="J11" s="11">
        <v>0</v>
      </c>
      <c r="K11" s="11">
        <f t="shared" si="0"/>
        <v>20123</v>
      </c>
      <c r="L11" s="11"/>
      <c r="M11" s="11"/>
      <c r="N11" s="11">
        <f>K11</f>
        <v>20123</v>
      </c>
    </row>
    <row r="12" spans="1:14" ht="12.75">
      <c r="A12" s="1" t="s">
        <v>225</v>
      </c>
      <c r="B12" s="11">
        <f>19456-214</f>
        <v>19242</v>
      </c>
      <c r="C12" s="11">
        <v>1088</v>
      </c>
      <c r="D12" s="11">
        <v>2714</v>
      </c>
      <c r="E12" s="11">
        <f>2+28</f>
        <v>30</v>
      </c>
      <c r="F12" s="11">
        <v>1350</v>
      </c>
      <c r="G12" s="11">
        <v>7138</v>
      </c>
      <c r="H12" s="11">
        <v>0</v>
      </c>
      <c r="I12" s="11">
        <v>0</v>
      </c>
      <c r="J12" s="11">
        <v>75</v>
      </c>
      <c r="K12" s="11">
        <f>SUM(B12:J12)</f>
        <v>31637</v>
      </c>
      <c r="L12" s="11"/>
      <c r="M12" s="11"/>
      <c r="N12" s="11">
        <f>K12-M12</f>
        <v>31637</v>
      </c>
    </row>
    <row r="13" spans="1:14" ht="12.75">
      <c r="A13" s="1" t="s">
        <v>983</v>
      </c>
      <c r="B13" s="11">
        <f>393+2447+11</f>
        <v>2851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f t="shared" si="0"/>
        <v>2851</v>
      </c>
      <c r="L13" s="11"/>
      <c r="M13" s="170">
        <v>-2851</v>
      </c>
      <c r="N13" s="170">
        <f>K13+M13</f>
        <v>0</v>
      </c>
    </row>
    <row r="14" spans="1:14" ht="12.75">
      <c r="A14" s="1" t="s">
        <v>122</v>
      </c>
      <c r="B14" s="11">
        <f>7896+14776+292</f>
        <v>22964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0"/>
        <v>22964</v>
      </c>
      <c r="L14" s="11"/>
      <c r="M14" s="11"/>
      <c r="N14" s="11">
        <f>K14-M14</f>
        <v>22964</v>
      </c>
    </row>
    <row r="15" spans="1:14" ht="12.75">
      <c r="A15" s="1" t="s">
        <v>165</v>
      </c>
      <c r="B15" s="11">
        <v>80138</v>
      </c>
      <c r="C15" s="11">
        <v>0</v>
      </c>
      <c r="D15" s="11">
        <v>0</v>
      </c>
      <c r="E15" s="11">
        <v>31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>SUM(B15:J15)</f>
        <v>80169</v>
      </c>
      <c r="L15" s="11"/>
      <c r="M15" s="11"/>
      <c r="N15" s="11">
        <f>K15-M15</f>
        <v>80169</v>
      </c>
    </row>
    <row r="16" spans="1:14" ht="12.75">
      <c r="A16" s="1" t="s">
        <v>166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1381</v>
      </c>
      <c r="K16" s="11">
        <f t="shared" si="0"/>
        <v>1381</v>
      </c>
      <c r="L16" s="11"/>
      <c r="M16" s="170">
        <v>-1381</v>
      </c>
      <c r="N16" s="11">
        <f>K16+M16</f>
        <v>0</v>
      </c>
    </row>
    <row r="17" spans="1:14" ht="12.75">
      <c r="A17" s="1" t="s">
        <v>61</v>
      </c>
      <c r="B17" s="11"/>
      <c r="C17" s="11">
        <v>57761</v>
      </c>
      <c r="D17" s="11">
        <v>0</v>
      </c>
      <c r="E17" s="11">
        <v>9745</v>
      </c>
      <c r="F17" s="11">
        <v>3732</v>
      </c>
      <c r="G17" s="11">
        <v>7186</v>
      </c>
      <c r="H17" s="11">
        <v>0</v>
      </c>
      <c r="I17" s="11">
        <v>0</v>
      </c>
      <c r="J17" s="11">
        <v>0</v>
      </c>
      <c r="K17" s="11">
        <f t="shared" si="0"/>
        <v>78424</v>
      </c>
      <c r="L17" s="11"/>
      <c r="M17" s="11"/>
      <c r="N17" s="11">
        <f>K17</f>
        <v>78424</v>
      </c>
    </row>
    <row r="18" spans="1:14" ht="12.75">
      <c r="A18" s="1" t="s">
        <v>564</v>
      </c>
      <c r="B18" s="11">
        <v>0</v>
      </c>
      <c r="C18" s="11">
        <v>0</v>
      </c>
      <c r="D18" s="11">
        <v>0</v>
      </c>
      <c r="E18" s="11">
        <v>0</v>
      </c>
      <c r="F18" s="11">
        <v>121</v>
      </c>
      <c r="G18" s="11">
        <v>0</v>
      </c>
      <c r="H18" s="11">
        <v>0</v>
      </c>
      <c r="I18" s="11">
        <v>0</v>
      </c>
      <c r="J18" s="11">
        <v>0</v>
      </c>
      <c r="K18" s="11">
        <f t="shared" si="0"/>
        <v>121</v>
      </c>
      <c r="L18" s="11"/>
      <c r="M18" s="11"/>
      <c r="N18" s="11">
        <f>K18</f>
        <v>121</v>
      </c>
    </row>
    <row r="19" spans="1:14" ht="12.75">
      <c r="A19" s="1" t="s">
        <v>578</v>
      </c>
      <c r="B19" s="11">
        <v>-334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f t="shared" si="0"/>
        <v>-334</v>
      </c>
      <c r="L19" s="11">
        <v>334</v>
      </c>
      <c r="M19" s="170"/>
      <c r="N19" s="170">
        <f>K19+L19</f>
        <v>0</v>
      </c>
    </row>
    <row r="20" spans="1:14" ht="12.75">
      <c r="A20" s="1"/>
      <c r="B20" s="21">
        <f>SUM(B8:B19)</f>
        <v>126341</v>
      </c>
      <c r="C20" s="21">
        <f>SUM(C8:C19)</f>
        <v>86550</v>
      </c>
      <c r="D20" s="21">
        <f aca="true" t="shared" si="1" ref="D20:J20">SUM(D8:D19)</f>
        <v>52502</v>
      </c>
      <c r="E20" s="21">
        <f t="shared" si="1"/>
        <v>9906</v>
      </c>
      <c r="F20" s="21">
        <f t="shared" si="1"/>
        <v>8701</v>
      </c>
      <c r="G20" s="21">
        <f t="shared" si="1"/>
        <v>73322</v>
      </c>
      <c r="H20" s="21">
        <f t="shared" si="1"/>
        <v>41</v>
      </c>
      <c r="I20" s="21">
        <f>SUM(I8:I19)</f>
        <v>3</v>
      </c>
      <c r="J20" s="21">
        <f t="shared" si="1"/>
        <v>1458</v>
      </c>
      <c r="K20" s="21">
        <f>SUM(K8:K19)</f>
        <v>358824</v>
      </c>
      <c r="L20" s="573">
        <f>SUM(L8:L19)</f>
        <v>334</v>
      </c>
      <c r="M20" s="573">
        <f>SUM(M8:M19)</f>
        <v>-4232</v>
      </c>
      <c r="N20" s="21">
        <f>SUM(N8:N19)</f>
        <v>354926</v>
      </c>
    </row>
    <row r="21" spans="1:14" ht="12.75">
      <c r="A21" s="2" t="s">
        <v>167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1" t="s">
        <v>913</v>
      </c>
      <c r="B23" s="11">
        <f>'notes-w'!C46</f>
        <v>100184</v>
      </c>
      <c r="C23" s="11">
        <f>'notes-w'!D46</f>
        <v>11011</v>
      </c>
      <c r="D23" s="11">
        <f>'notes-w'!E46</f>
        <v>1078</v>
      </c>
      <c r="E23" s="11">
        <f>'notes-w'!F46</f>
        <v>0</v>
      </c>
      <c r="F23" s="170">
        <f>'notes-w'!G46</f>
        <v>1563</v>
      </c>
      <c r="G23" s="11">
        <f>'notes-w'!H46</f>
        <v>49</v>
      </c>
      <c r="H23" s="11">
        <v>0</v>
      </c>
      <c r="I23" s="11">
        <v>0</v>
      </c>
      <c r="J23" s="11">
        <v>0</v>
      </c>
      <c r="K23" s="11">
        <f aca="true" t="shared" si="2" ref="K23:K33">SUM(B23:J23)</f>
        <v>113885</v>
      </c>
      <c r="L23" s="11"/>
      <c r="M23" s="11"/>
      <c r="N23" s="11">
        <f>K23</f>
        <v>113885</v>
      </c>
    </row>
    <row r="24" spans="1:14" ht="12.75">
      <c r="A24" s="1" t="s">
        <v>226</v>
      </c>
      <c r="B24" s="11">
        <v>0</v>
      </c>
      <c r="C24" s="11">
        <v>5465</v>
      </c>
      <c r="D24" s="11">
        <v>10140</v>
      </c>
      <c r="E24" s="11">
        <v>165</v>
      </c>
      <c r="F24" s="11">
        <v>808</v>
      </c>
      <c r="G24" s="11">
        <v>1738</v>
      </c>
      <c r="H24" s="11">
        <v>0</v>
      </c>
      <c r="I24" s="11">
        <v>0</v>
      </c>
      <c r="J24" s="11">
        <v>0</v>
      </c>
      <c r="K24" s="11">
        <f t="shared" si="2"/>
        <v>18316</v>
      </c>
      <c r="L24" s="11"/>
      <c r="M24" s="11"/>
      <c r="N24" s="11">
        <f>K24</f>
        <v>18316</v>
      </c>
    </row>
    <row r="25" spans="1:14" ht="12.75">
      <c r="A25" s="1" t="s">
        <v>594</v>
      </c>
      <c r="B25" s="11">
        <f>850-5+1398+402</f>
        <v>2645</v>
      </c>
      <c r="C25" s="11">
        <f>13615-'notes-w'!D32+2</f>
        <v>13563</v>
      </c>
      <c r="D25" s="11">
        <f>3072-207</f>
        <v>2865</v>
      </c>
      <c r="E25" s="11">
        <f>79+120</f>
        <v>199</v>
      </c>
      <c r="F25" s="11">
        <v>5088</v>
      </c>
      <c r="G25" s="11">
        <v>12348</v>
      </c>
      <c r="H25" s="11">
        <v>5</v>
      </c>
      <c r="I25" s="11">
        <v>8</v>
      </c>
      <c r="J25" s="11">
        <v>4</v>
      </c>
      <c r="K25" s="11">
        <f t="shared" si="2"/>
        <v>36725</v>
      </c>
      <c r="L25" s="11"/>
      <c r="M25" s="11"/>
      <c r="N25" s="11">
        <f>K25-L25</f>
        <v>36725</v>
      </c>
    </row>
    <row r="26" spans="1:14" ht="12.75">
      <c r="A26" s="1" t="s">
        <v>7</v>
      </c>
      <c r="B26" s="11">
        <f>715+'cpl-2date'!C35</f>
        <v>1104</v>
      </c>
      <c r="C26" s="11">
        <v>2228</v>
      </c>
      <c r="D26" s="11">
        <v>73</v>
      </c>
      <c r="E26" s="11">
        <v>10</v>
      </c>
      <c r="F26" s="11">
        <v>0</v>
      </c>
      <c r="G26" s="11">
        <v>1222</v>
      </c>
      <c r="H26" s="11">
        <v>0</v>
      </c>
      <c r="I26" s="11">
        <v>0</v>
      </c>
      <c r="J26" s="11">
        <v>28</v>
      </c>
      <c r="K26" s="11">
        <f t="shared" si="2"/>
        <v>4665</v>
      </c>
      <c r="L26" s="170"/>
      <c r="M26" s="170">
        <f>-390-194</f>
        <v>-584</v>
      </c>
      <c r="N26" s="11">
        <f>K26-M26</f>
        <v>5249</v>
      </c>
    </row>
    <row r="27" spans="1:14" ht="12.75">
      <c r="A27" s="1" t="s">
        <v>168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1057</v>
      </c>
      <c r="H27" s="11">
        <v>0</v>
      </c>
      <c r="I27" s="11">
        <v>0</v>
      </c>
      <c r="J27" s="11">
        <v>0</v>
      </c>
      <c r="K27" s="11">
        <f t="shared" si="2"/>
        <v>1057</v>
      </c>
      <c r="L27" s="11"/>
      <c r="M27" s="11"/>
      <c r="N27" s="11">
        <f>K27</f>
        <v>1057</v>
      </c>
    </row>
    <row r="28" spans="1:14" ht="12.75">
      <c r="A28" s="1" t="s">
        <v>169</v>
      </c>
      <c r="B28" s="11">
        <f>1381</f>
        <v>1381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2"/>
        <v>1381</v>
      </c>
      <c r="L28" s="11">
        <v>-1381</v>
      </c>
      <c r="M28" s="11"/>
      <c r="N28" s="11">
        <f>K28+L28</f>
        <v>0</v>
      </c>
    </row>
    <row r="29" spans="1:14" ht="12.75">
      <c r="A29" s="1" t="s">
        <v>170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f t="shared" si="2"/>
        <v>0</v>
      </c>
      <c r="L29" s="11"/>
      <c r="M29" s="11"/>
      <c r="N29" s="11">
        <f>K29</f>
        <v>0</v>
      </c>
    </row>
    <row r="30" spans="1:15" ht="12.75">
      <c r="A30" s="1" t="s">
        <v>171</v>
      </c>
      <c r="B30" s="11">
        <v>0</v>
      </c>
      <c r="C30" s="11">
        <v>0</v>
      </c>
      <c r="D30" s="11">
        <v>2447</v>
      </c>
      <c r="E30" s="11">
        <v>0</v>
      </c>
      <c r="F30" s="11">
        <v>11</v>
      </c>
      <c r="G30" s="11">
        <v>0</v>
      </c>
      <c r="H30" s="11">
        <v>0</v>
      </c>
      <c r="I30" s="11">
        <v>393</v>
      </c>
      <c r="J30" s="11">
        <v>0</v>
      </c>
      <c r="K30" s="11">
        <f t="shared" si="2"/>
        <v>2851</v>
      </c>
      <c r="L30" s="170">
        <v>-2851</v>
      </c>
      <c r="M30" s="11"/>
      <c r="N30" s="11">
        <f>K30+L30</f>
        <v>0</v>
      </c>
      <c r="O30" s="476"/>
    </row>
    <row r="31" spans="1:15" ht="12.75">
      <c r="A31" s="1" t="s">
        <v>546</v>
      </c>
      <c r="B31" s="11">
        <v>0</v>
      </c>
      <c r="C31" s="11">
        <v>128</v>
      </c>
      <c r="D31" s="11">
        <v>0</v>
      </c>
      <c r="E31" s="11">
        <v>0</v>
      </c>
      <c r="F31" s="11">
        <v>33</v>
      </c>
      <c r="G31" s="11">
        <v>0</v>
      </c>
      <c r="H31" s="11">
        <v>0</v>
      </c>
      <c r="I31" s="11">
        <v>0</v>
      </c>
      <c r="J31" s="11">
        <v>0</v>
      </c>
      <c r="K31" s="11">
        <f t="shared" si="2"/>
        <v>161</v>
      </c>
      <c r="L31" s="11"/>
      <c r="M31" s="11"/>
      <c r="N31" s="11">
        <f>K31</f>
        <v>161</v>
      </c>
      <c r="O31" s="476"/>
    </row>
    <row r="32" spans="1:15" ht="12.75">
      <c r="A32" s="1" t="s">
        <v>436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f t="shared" si="2"/>
        <v>0</v>
      </c>
      <c r="L32" s="11"/>
      <c r="M32" s="11"/>
      <c r="N32" s="11">
        <v>0</v>
      </c>
      <c r="O32" s="476"/>
    </row>
    <row r="33" spans="1:14" ht="12.75">
      <c r="A33" s="1"/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f t="shared" si="2"/>
        <v>0</v>
      </c>
      <c r="L33" s="11"/>
      <c r="M33" s="11"/>
      <c r="N33" s="11">
        <f>K33</f>
        <v>0</v>
      </c>
    </row>
    <row r="34" spans="1:14" ht="12.75">
      <c r="A34" s="1"/>
      <c r="B34" s="21">
        <f>SUM(B23:B33)</f>
        <v>105314</v>
      </c>
      <c r="C34" s="21">
        <f>SUM(C23:C33)</f>
        <v>32395</v>
      </c>
      <c r="D34" s="21">
        <f aca="true" t="shared" si="3" ref="D34:J34">SUM(D23:D33)</f>
        <v>16603</v>
      </c>
      <c r="E34" s="21">
        <f t="shared" si="3"/>
        <v>374</v>
      </c>
      <c r="F34" s="21">
        <f t="shared" si="3"/>
        <v>7503</v>
      </c>
      <c r="G34" s="21">
        <f t="shared" si="3"/>
        <v>16414</v>
      </c>
      <c r="H34" s="21">
        <f t="shared" si="3"/>
        <v>5</v>
      </c>
      <c r="I34" s="21">
        <f>SUM(I23:I33)</f>
        <v>401</v>
      </c>
      <c r="J34" s="21">
        <f t="shared" si="3"/>
        <v>32</v>
      </c>
      <c r="K34" s="21">
        <f>SUM(K23:K33)</f>
        <v>179041</v>
      </c>
      <c r="L34" s="574">
        <f>SUM(L23:L33)</f>
        <v>-4232</v>
      </c>
      <c r="M34" s="574">
        <f>SUM(M23:M33)</f>
        <v>-584</v>
      </c>
      <c r="N34" s="21">
        <f>SUM(N23:N33)</f>
        <v>175393</v>
      </c>
    </row>
    <row r="35" spans="1:14" ht="12.75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5" ht="12.75">
      <c r="A36" s="1" t="s">
        <v>172</v>
      </c>
      <c r="B36" s="11">
        <f aca="true" t="shared" si="4" ref="B36:J36">B20-B34</f>
        <v>21027</v>
      </c>
      <c r="C36" s="11">
        <f>C20-C34</f>
        <v>54155</v>
      </c>
      <c r="D36" s="11">
        <f t="shared" si="4"/>
        <v>35899</v>
      </c>
      <c r="E36" s="11">
        <f t="shared" si="4"/>
        <v>9532</v>
      </c>
      <c r="F36" s="11">
        <f t="shared" si="4"/>
        <v>1198</v>
      </c>
      <c r="G36" s="11">
        <f t="shared" si="4"/>
        <v>56908</v>
      </c>
      <c r="H36" s="11">
        <f t="shared" si="4"/>
        <v>36</v>
      </c>
      <c r="I36" s="11">
        <f t="shared" si="4"/>
        <v>-398</v>
      </c>
      <c r="J36" s="11">
        <f t="shared" si="4"/>
        <v>1426</v>
      </c>
      <c r="K36" s="11">
        <f>K20-K34</f>
        <v>179783</v>
      </c>
      <c r="L36" s="11"/>
      <c r="M36" s="11"/>
      <c r="N36" s="11">
        <f>N20-N34</f>
        <v>179533</v>
      </c>
      <c r="O36" s="476"/>
    </row>
    <row r="37" spans="1:14" ht="12.75">
      <c r="A37" s="1" t="s">
        <v>173</v>
      </c>
      <c r="B37" s="11">
        <f>25+4623</f>
        <v>4648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f aca="true" t="shared" si="5" ref="K37:K52">SUM(B37:J37)</f>
        <v>4648</v>
      </c>
      <c r="L37" s="11"/>
      <c r="M37" s="11"/>
      <c r="N37" s="11">
        <f>K37</f>
        <v>4648</v>
      </c>
    </row>
    <row r="38" spans="1:14" ht="12.75">
      <c r="A38" s="1" t="s">
        <v>176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f t="shared" si="5"/>
        <v>0</v>
      </c>
      <c r="L38" s="11"/>
      <c r="M38" s="11"/>
      <c r="N38" s="11">
        <f>K38</f>
        <v>0</v>
      </c>
    </row>
    <row r="39" spans="1:14" ht="12.75">
      <c r="A39" s="1" t="s">
        <v>177</v>
      </c>
      <c r="B39" s="11">
        <v>3992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 t="shared" si="5"/>
        <v>3992</v>
      </c>
      <c r="L39" s="11"/>
      <c r="M39" s="170">
        <f>-1210-84</f>
        <v>-1294</v>
      </c>
      <c r="N39" s="170">
        <f>K39+M39</f>
        <v>2698</v>
      </c>
    </row>
    <row r="40" spans="1:14" ht="12.75">
      <c r="A40" s="1" t="s">
        <v>178</v>
      </c>
      <c r="B40" s="11">
        <f>18005+94315+106425+9519</f>
        <v>228264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94279</v>
      </c>
      <c r="I40" s="11">
        <v>0</v>
      </c>
      <c r="J40" s="11">
        <v>0</v>
      </c>
      <c r="K40" s="11">
        <f t="shared" si="5"/>
        <v>322543</v>
      </c>
      <c r="L40" s="11"/>
      <c r="M40" s="170">
        <f>-12904-5100-57946-10077-26254-2-210260</f>
        <v>-322543</v>
      </c>
      <c r="N40" s="170">
        <f>K40+M40</f>
        <v>0</v>
      </c>
    </row>
    <row r="41" spans="1:14" ht="12.75">
      <c r="A41" s="1" t="s">
        <v>179</v>
      </c>
      <c r="B41" s="11">
        <v>11281</v>
      </c>
      <c r="C41" s="11">
        <v>33933</v>
      </c>
      <c r="D41" s="11">
        <v>10267</v>
      </c>
      <c r="E41" s="11">
        <v>4</v>
      </c>
      <c r="F41" s="11">
        <v>55543</v>
      </c>
      <c r="G41" s="11">
        <v>0</v>
      </c>
      <c r="H41" s="11">
        <v>0</v>
      </c>
      <c r="I41" s="11">
        <v>0</v>
      </c>
      <c r="J41" s="11">
        <v>0</v>
      </c>
      <c r="K41" s="11">
        <f t="shared" si="5"/>
        <v>111028</v>
      </c>
      <c r="L41" s="11"/>
      <c r="M41" s="11"/>
      <c r="N41" s="170">
        <f>K41</f>
        <v>111028</v>
      </c>
    </row>
    <row r="42" spans="1:14" ht="12.75">
      <c r="A42" s="1" t="s">
        <v>180</v>
      </c>
      <c r="B42" s="11">
        <v>0</v>
      </c>
      <c r="C42" s="11">
        <v>-23</v>
      </c>
      <c r="D42" s="11">
        <v>-754</v>
      </c>
      <c r="E42" s="11">
        <v>0</v>
      </c>
      <c r="F42" s="11">
        <v>0</v>
      </c>
      <c r="G42" s="11">
        <v>-2917</v>
      </c>
      <c r="H42" s="11">
        <v>0</v>
      </c>
      <c r="I42" s="11">
        <v>0</v>
      </c>
      <c r="J42" s="11">
        <v>0</v>
      </c>
      <c r="K42" s="11">
        <f t="shared" si="5"/>
        <v>-3694</v>
      </c>
      <c r="L42" s="11"/>
      <c r="M42" s="11"/>
      <c r="N42" s="170">
        <f>K42</f>
        <v>-3694</v>
      </c>
    </row>
    <row r="43" spans="1:14" ht="12.75">
      <c r="A43" s="1" t="s">
        <v>181</v>
      </c>
      <c r="B43" s="57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f t="shared" si="5"/>
        <v>0</v>
      </c>
      <c r="L43" s="11"/>
      <c r="M43" s="11"/>
      <c r="N43" s="170">
        <f>K43</f>
        <v>0</v>
      </c>
    </row>
    <row r="44" spans="1:14" ht="12.75">
      <c r="A44" s="1" t="s">
        <v>182</v>
      </c>
      <c r="B44" s="11">
        <v>0</v>
      </c>
      <c r="C44" s="11">
        <v>38357</v>
      </c>
      <c r="D44" s="11">
        <v>0</v>
      </c>
      <c r="E44" s="11">
        <v>0</v>
      </c>
      <c r="F44" s="11">
        <v>0</v>
      </c>
      <c r="G44" s="11">
        <v>93359</v>
      </c>
      <c r="H44" s="11">
        <v>0</v>
      </c>
      <c r="I44" s="11">
        <v>0</v>
      </c>
      <c r="J44" s="11">
        <v>0</v>
      </c>
      <c r="K44" s="11">
        <f t="shared" si="5"/>
        <v>131716</v>
      </c>
      <c r="L44" s="11"/>
      <c r="M44" s="11"/>
      <c r="N44" s="170">
        <f>K44</f>
        <v>131716</v>
      </c>
    </row>
    <row r="45" spans="1:15" ht="12.75">
      <c r="A45" s="1" t="s">
        <v>183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f t="shared" si="5"/>
        <v>0</v>
      </c>
      <c r="L45" s="170">
        <v>43293</v>
      </c>
      <c r="M45" s="170">
        <f>-10824-1083</f>
        <v>-11907</v>
      </c>
      <c r="N45" s="170">
        <f>K45+L45+M45</f>
        <v>31386</v>
      </c>
      <c r="O45" s="476"/>
    </row>
    <row r="46" spans="1:15" ht="12.75">
      <c r="A46" s="1" t="s">
        <v>184</v>
      </c>
      <c r="B46" s="11">
        <v>0</v>
      </c>
      <c r="C46" s="11">
        <v>0</v>
      </c>
      <c r="D46" s="11">
        <f>-'notes-w'!E72</f>
        <v>-541</v>
      </c>
      <c r="E46" s="11">
        <v>0</v>
      </c>
      <c r="F46" s="170">
        <f>-'notes-w'!G72</f>
        <v>-5000</v>
      </c>
      <c r="G46" s="11">
        <v>0</v>
      </c>
      <c r="H46" s="11">
        <v>0</v>
      </c>
      <c r="I46" s="11">
        <v>0</v>
      </c>
      <c r="J46" s="11">
        <v>0</v>
      </c>
      <c r="K46" s="11">
        <f t="shared" si="5"/>
        <v>-5541</v>
      </c>
      <c r="L46" s="11"/>
      <c r="M46" s="11"/>
      <c r="N46" s="170">
        <f>K46</f>
        <v>-5541</v>
      </c>
      <c r="O46" s="476"/>
    </row>
    <row r="47" spans="1:14" ht="12.75">
      <c r="A47" s="1" t="s">
        <v>185</v>
      </c>
      <c r="B47" s="11">
        <v>0</v>
      </c>
      <c r="C47" s="11">
        <v>0</v>
      </c>
      <c r="D47" s="11">
        <v>39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f t="shared" si="5"/>
        <v>39</v>
      </c>
      <c r="L47" s="11"/>
      <c r="M47" s="11"/>
      <c r="N47" s="170">
        <f>K47</f>
        <v>39</v>
      </c>
    </row>
    <row r="48" spans="1:14" ht="12.75">
      <c r="A48" s="1" t="s">
        <v>186</v>
      </c>
      <c r="B48" s="11">
        <f>-'notes-w'!C55</f>
        <v>-34</v>
      </c>
      <c r="C48" s="11">
        <f>-'notes-w'!D55</f>
        <v>-55</v>
      </c>
      <c r="D48" s="11">
        <f>-'notes-w'!E51</f>
        <v>-277</v>
      </c>
      <c r="E48" s="11">
        <v>0</v>
      </c>
      <c r="F48" s="170">
        <f>-'notes-w'!G51</f>
        <v>-159</v>
      </c>
      <c r="G48" s="11">
        <f>-'notes-w'!H51</f>
        <v>-317</v>
      </c>
      <c r="H48" s="11">
        <v>0</v>
      </c>
      <c r="I48" s="11">
        <v>0</v>
      </c>
      <c r="J48" s="11">
        <v>0</v>
      </c>
      <c r="K48" s="11">
        <f t="shared" si="5"/>
        <v>-842</v>
      </c>
      <c r="L48" s="11"/>
      <c r="M48" s="11"/>
      <c r="N48" s="170">
        <f>K48</f>
        <v>-842</v>
      </c>
    </row>
    <row r="49" spans="1:16" ht="12.75">
      <c r="A49" s="1" t="s">
        <v>435</v>
      </c>
      <c r="B49" s="11">
        <v>0</v>
      </c>
      <c r="C49" s="11">
        <f>-106127-298</f>
        <v>-106425</v>
      </c>
      <c r="D49" s="11">
        <v>0</v>
      </c>
      <c r="E49" s="11">
        <v>-9519</v>
      </c>
      <c r="F49" s="11">
        <v>0</v>
      </c>
      <c r="G49" s="11">
        <v>0</v>
      </c>
      <c r="H49" s="11">
        <v>-94316</v>
      </c>
      <c r="I49" s="11">
        <v>0</v>
      </c>
      <c r="J49" s="11">
        <v>0</v>
      </c>
      <c r="K49" s="11">
        <f t="shared" si="5"/>
        <v>-210260</v>
      </c>
      <c r="L49" s="170">
        <v>210260</v>
      </c>
      <c r="M49" s="11"/>
      <c r="N49" s="11">
        <f>K49+L49</f>
        <v>0</v>
      </c>
      <c r="P49" s="578">
        <v>130590</v>
      </c>
    </row>
    <row r="50" spans="1:17" ht="12.75">
      <c r="A50" s="1" t="s">
        <v>187</v>
      </c>
      <c r="B50" s="11">
        <v>0</v>
      </c>
      <c r="C50" s="11"/>
      <c r="D50" s="11">
        <v>0</v>
      </c>
      <c r="E50" s="11">
        <v>0</v>
      </c>
      <c r="F50" s="11">
        <v>-3448</v>
      </c>
      <c r="G50" s="11">
        <v>-73390</v>
      </c>
      <c r="H50" s="11">
        <v>0</v>
      </c>
      <c r="I50" s="11">
        <v>0</v>
      </c>
      <c r="J50" s="11">
        <v>0</v>
      </c>
      <c r="K50" s="11">
        <f t="shared" si="5"/>
        <v>-76838</v>
      </c>
      <c r="L50" s="11">
        <f>9+29+9+2156--132</f>
        <v>2335</v>
      </c>
      <c r="M50" s="11">
        <f>-196-41671-10471-3610-7-1482-278</f>
        <v>-57715</v>
      </c>
      <c r="N50" s="577">
        <f>K50+L50+M50</f>
        <v>-132218</v>
      </c>
      <c r="P50" s="579">
        <v>1214</v>
      </c>
      <c r="Q50" s="1"/>
    </row>
    <row r="51" spans="1:17" ht="13.5" thickBot="1">
      <c r="A51" s="1" t="s">
        <v>188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2576</v>
      </c>
      <c r="H51" s="11">
        <v>0</v>
      </c>
      <c r="I51" s="11">
        <v>0</v>
      </c>
      <c r="J51" s="11">
        <v>0</v>
      </c>
      <c r="K51" s="11">
        <f t="shared" si="5"/>
        <v>2576</v>
      </c>
      <c r="L51" s="11"/>
      <c r="M51" s="11"/>
      <c r="N51" s="11">
        <f>K51</f>
        <v>2576</v>
      </c>
      <c r="P51" s="580">
        <f>P49+P50</f>
        <v>131804</v>
      </c>
      <c r="Q51" s="1"/>
    </row>
    <row r="52" spans="1:17" ht="13.5" thickTop="1">
      <c r="A52" s="1" t="s">
        <v>565</v>
      </c>
      <c r="B52" s="11">
        <v>0</v>
      </c>
      <c r="C52" s="11"/>
      <c r="D52" s="11">
        <v>0</v>
      </c>
      <c r="E52" s="11">
        <v>0</v>
      </c>
      <c r="F52" s="11">
        <v>-220</v>
      </c>
      <c r="G52" s="11">
        <v>0</v>
      </c>
      <c r="H52" s="11">
        <v>0</v>
      </c>
      <c r="I52" s="11">
        <v>0</v>
      </c>
      <c r="J52" s="11">
        <v>0</v>
      </c>
      <c r="K52" s="11">
        <f t="shared" si="5"/>
        <v>-220</v>
      </c>
      <c r="L52" s="11"/>
      <c r="M52" s="11"/>
      <c r="N52" s="11">
        <f>K52</f>
        <v>-220</v>
      </c>
      <c r="P52" s="578">
        <v>130590</v>
      </c>
      <c r="Q52" s="1"/>
    </row>
    <row r="53" spans="1:16" ht="12.75">
      <c r="A53" s="1" t="s">
        <v>105</v>
      </c>
      <c r="B53" s="21">
        <f aca="true" t="shared" si="6" ref="B53:J53">SUM(B36:B52)</f>
        <v>269178</v>
      </c>
      <c r="C53" s="21">
        <f>SUM(C36:C52)</f>
        <v>19942</v>
      </c>
      <c r="D53" s="21">
        <f t="shared" si="6"/>
        <v>44633</v>
      </c>
      <c r="E53" s="21">
        <f t="shared" si="6"/>
        <v>17</v>
      </c>
      <c r="F53" s="21">
        <f t="shared" si="6"/>
        <v>47914</v>
      </c>
      <c r="G53" s="21">
        <f t="shared" si="6"/>
        <v>76219</v>
      </c>
      <c r="H53" s="21">
        <f t="shared" si="6"/>
        <v>-1</v>
      </c>
      <c r="I53" s="21">
        <f>SUM(I36:I52)</f>
        <v>-398</v>
      </c>
      <c r="J53" s="21">
        <f t="shared" si="6"/>
        <v>1426</v>
      </c>
      <c r="K53" s="21">
        <f>SUM(K36:K52)</f>
        <v>458930</v>
      </c>
      <c r="L53" s="21">
        <f>SUM(L36:L52)</f>
        <v>255888</v>
      </c>
      <c r="M53" s="21">
        <f>SUM(M36:M52)</f>
        <v>-393459</v>
      </c>
      <c r="N53" s="21">
        <f>SUM(N36:N52)</f>
        <v>321109</v>
      </c>
      <c r="P53" s="578">
        <f>-'cpl-2date'!O40</f>
        <v>1628</v>
      </c>
    </row>
    <row r="54" spans="1:16" ht="13.5" thickBot="1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22"/>
      <c r="M54" s="22"/>
      <c r="N54" s="11"/>
      <c r="P54" s="581">
        <f>P52+P53</f>
        <v>132218</v>
      </c>
    </row>
    <row r="55" spans="1:14" ht="13.5" thickTop="1">
      <c r="A55" s="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22"/>
      <c r="M55" s="22"/>
      <c r="N55" s="11"/>
    </row>
    <row r="56" spans="1:14" ht="12.75">
      <c r="A56" s="1" t="s">
        <v>189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>
      <c r="A57" s="1" t="s">
        <v>190</v>
      </c>
      <c r="B57" s="11">
        <v>70000</v>
      </c>
      <c r="C57" s="11">
        <v>1000</v>
      </c>
      <c r="D57" s="11">
        <v>11352</v>
      </c>
      <c r="E57" s="11">
        <v>0</v>
      </c>
      <c r="F57" s="11">
        <v>42800</v>
      </c>
      <c r="G57" s="11">
        <v>10000</v>
      </c>
      <c r="H57" s="11">
        <v>50</v>
      </c>
      <c r="I57" s="11">
        <v>1</v>
      </c>
      <c r="J57" s="11">
        <v>500</v>
      </c>
      <c r="K57" s="11">
        <f aca="true" t="shared" si="7" ref="K57:K64">SUM(B57:J57)</f>
        <v>135703</v>
      </c>
      <c r="L57" s="11">
        <f>-12904-1-9800-200-42800</f>
        <v>-65705</v>
      </c>
      <c r="M57" s="11">
        <v>-2</v>
      </c>
      <c r="N57" s="11">
        <v>70000</v>
      </c>
    </row>
    <row r="58" spans="1:14" ht="12.75">
      <c r="A58" s="1" t="s">
        <v>191</v>
      </c>
      <c r="B58" s="11">
        <v>0</v>
      </c>
      <c r="C58" s="11">
        <v>0</v>
      </c>
      <c r="D58" s="11">
        <v>0</v>
      </c>
      <c r="E58" s="11">
        <v>0</v>
      </c>
      <c r="F58" s="11">
        <v>51</v>
      </c>
      <c r="G58" s="11">
        <v>0</v>
      </c>
      <c r="H58" s="11">
        <v>0</v>
      </c>
      <c r="I58" s="11">
        <v>0</v>
      </c>
      <c r="J58" s="11">
        <v>0</v>
      </c>
      <c r="K58" s="11">
        <f t="shared" si="7"/>
        <v>51</v>
      </c>
      <c r="L58" s="11">
        <v>-51</v>
      </c>
      <c r="M58" s="11"/>
      <c r="N58" s="11">
        <f>K58+L58</f>
        <v>0</v>
      </c>
    </row>
    <row r="59" spans="1:14" ht="12.75">
      <c r="A59" s="1" t="s">
        <v>64</v>
      </c>
      <c r="B59" s="11">
        <v>190497</v>
      </c>
      <c r="C59" s="11">
        <v>0</v>
      </c>
      <c r="D59" s="11">
        <v>0</v>
      </c>
      <c r="E59" s="11">
        <v>0</v>
      </c>
      <c r="F59" s="11">
        <v>5049</v>
      </c>
      <c r="G59" s="11">
        <v>19800</v>
      </c>
      <c r="H59" s="11">
        <v>0</v>
      </c>
      <c r="I59" s="11">
        <v>0</v>
      </c>
      <c r="J59" s="11">
        <v>0</v>
      </c>
      <c r="K59" s="11">
        <f t="shared" si="7"/>
        <v>215346</v>
      </c>
      <c r="L59" s="11">
        <f>-19800-5049</f>
        <v>-24849</v>
      </c>
      <c r="M59" s="11"/>
      <c r="N59" s="11">
        <v>190497</v>
      </c>
    </row>
    <row r="60" spans="1:14" ht="12.75">
      <c r="A60" s="1" t="s">
        <v>65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f t="shared" si="7"/>
        <v>0</v>
      </c>
      <c r="L60" s="11"/>
      <c r="M60" s="11"/>
      <c r="N60" s="11">
        <f>K60+L60</f>
        <v>0</v>
      </c>
    </row>
    <row r="61" spans="1:14" ht="12.75">
      <c r="A61" s="1" t="s">
        <v>192</v>
      </c>
      <c r="B61" s="11">
        <v>0</v>
      </c>
      <c r="C61" s="11">
        <v>0</v>
      </c>
      <c r="D61" s="11">
        <v>505</v>
      </c>
      <c r="E61" s="11">
        <v>0</v>
      </c>
      <c r="F61" s="11">
        <f>24715</f>
        <v>24715</v>
      </c>
      <c r="G61" s="11">
        <v>0</v>
      </c>
      <c r="H61" s="11">
        <v>0</v>
      </c>
      <c r="I61" s="11">
        <v>0</v>
      </c>
      <c r="J61" s="11">
        <v>0</v>
      </c>
      <c r="K61" s="11">
        <f t="shared" si="7"/>
        <v>25220</v>
      </c>
      <c r="L61" s="11">
        <v>-25220</v>
      </c>
      <c r="M61" s="11"/>
      <c r="N61" s="11">
        <f>K61+L61</f>
        <v>0</v>
      </c>
    </row>
    <row r="62" spans="1:14" ht="12.75">
      <c r="A62" s="1" t="s">
        <v>383</v>
      </c>
      <c r="B62" s="11">
        <v>0</v>
      </c>
      <c r="C62" s="11">
        <v>0</v>
      </c>
      <c r="D62" s="11">
        <v>13986</v>
      </c>
      <c r="E62" s="11">
        <v>0</v>
      </c>
      <c r="F62" s="11">
        <v>405</v>
      </c>
      <c r="G62" s="11">
        <v>0</v>
      </c>
      <c r="H62" s="11">
        <v>0</v>
      </c>
      <c r="I62" s="11">
        <v>0</v>
      </c>
      <c r="J62" s="11">
        <v>0</v>
      </c>
      <c r="K62" s="11">
        <f>SUM(B62:J62)</f>
        <v>14391</v>
      </c>
      <c r="L62" s="11">
        <f>2+13947+196+172+20+20</f>
        <v>14357</v>
      </c>
      <c r="M62" s="11">
        <f>-420-10-29-402-2-3-5</f>
        <v>-871</v>
      </c>
      <c r="N62" s="170">
        <f>K62-L62-M62</f>
        <v>905</v>
      </c>
    </row>
    <row r="63" spans="1:16" ht="12.75">
      <c r="A63" s="1" t="s">
        <v>384</v>
      </c>
      <c r="B63" s="11">
        <f>'cpl-2date'!C51</f>
        <v>8681</v>
      </c>
      <c r="C63" s="11">
        <f>'cpl-2date'!D51</f>
        <v>18942</v>
      </c>
      <c r="D63" s="11">
        <f>'cpl-2date'!E51</f>
        <v>18790</v>
      </c>
      <c r="E63" s="11">
        <f>'cpl-2date'!F51</f>
        <v>17</v>
      </c>
      <c r="F63" s="11">
        <f>'cpl-2date'!G51</f>
        <v>-25106</v>
      </c>
      <c r="G63" s="11">
        <f>'cpl-2date'!H51</f>
        <v>46419</v>
      </c>
      <c r="H63" s="11">
        <f>'cpl-qtr1'!J50</f>
        <v>-51</v>
      </c>
      <c r="I63" s="11">
        <f>'cpl-qtr2'!J48</f>
        <v>-399</v>
      </c>
      <c r="J63" s="11">
        <f>'cpl-2date'!K51</f>
        <v>926</v>
      </c>
      <c r="K63" s="11">
        <f>SUM(B63:J63)</f>
        <v>68219</v>
      </c>
      <c r="L63" s="11"/>
      <c r="M63" s="11"/>
      <c r="N63" s="170">
        <f>'cpl-2date'!O51</f>
        <v>59707</v>
      </c>
      <c r="P63" s="476"/>
    </row>
    <row r="64" spans="1:16" ht="12.75">
      <c r="A64" s="1"/>
      <c r="B64" s="11"/>
      <c r="C64" s="11"/>
      <c r="D64" s="11"/>
      <c r="E64" s="11"/>
      <c r="F64" s="11"/>
      <c r="G64" s="11"/>
      <c r="H64" s="11"/>
      <c r="I64" s="11"/>
      <c r="J64" s="11"/>
      <c r="K64" s="11">
        <f t="shared" si="7"/>
        <v>0</v>
      </c>
      <c r="L64" s="11"/>
      <c r="M64" s="11"/>
      <c r="N64" s="170"/>
      <c r="P64" s="476"/>
    </row>
    <row r="65" spans="1:14" ht="12.75">
      <c r="A65" s="1"/>
      <c r="B65" s="21">
        <f aca="true" t="shared" si="8" ref="B65:J65">SUM(B57:B64)</f>
        <v>269178</v>
      </c>
      <c r="C65" s="21">
        <f t="shared" si="8"/>
        <v>19942</v>
      </c>
      <c r="D65" s="21">
        <f>SUM(D57:D64)</f>
        <v>44633</v>
      </c>
      <c r="E65" s="21">
        <f t="shared" si="8"/>
        <v>17</v>
      </c>
      <c r="F65" s="21">
        <f t="shared" si="8"/>
        <v>47914</v>
      </c>
      <c r="G65" s="21">
        <f t="shared" si="8"/>
        <v>76219</v>
      </c>
      <c r="H65" s="21">
        <f t="shared" si="8"/>
        <v>-1</v>
      </c>
      <c r="I65" s="21">
        <f>SUM(I57:I64)</f>
        <v>-398</v>
      </c>
      <c r="J65" s="21">
        <f t="shared" si="8"/>
        <v>1426</v>
      </c>
      <c r="K65" s="21">
        <f>SUM(K57:K64)</f>
        <v>458930</v>
      </c>
      <c r="L65" s="21">
        <f>SUM(L57:L64)</f>
        <v>-101468</v>
      </c>
      <c r="M65" s="21">
        <f>SUM(M57:M64)</f>
        <v>-873</v>
      </c>
      <c r="N65" s="584">
        <f>SUM(N57:N64)</f>
        <v>321109</v>
      </c>
    </row>
    <row r="66" spans="1:14" ht="12.75">
      <c r="A66" s="1"/>
      <c r="B66" s="22">
        <f aca="true" t="shared" si="9" ref="B66:K66">B53-B65</f>
        <v>0</v>
      </c>
      <c r="C66" s="22">
        <f t="shared" si="9"/>
        <v>0</v>
      </c>
      <c r="D66" s="22">
        <f t="shared" si="9"/>
        <v>0</v>
      </c>
      <c r="E66" s="22">
        <f t="shared" si="9"/>
        <v>0</v>
      </c>
      <c r="F66" s="22">
        <f t="shared" si="9"/>
        <v>0</v>
      </c>
      <c r="G66" s="22">
        <f t="shared" si="9"/>
        <v>0</v>
      </c>
      <c r="H66" s="22">
        <f t="shared" si="9"/>
        <v>0</v>
      </c>
      <c r="I66" s="22">
        <f t="shared" si="9"/>
        <v>0</v>
      </c>
      <c r="J66" s="22">
        <f t="shared" si="9"/>
        <v>0</v>
      </c>
      <c r="K66" s="22">
        <f t="shared" si="9"/>
        <v>0</v>
      </c>
      <c r="L66" s="11"/>
      <c r="M66" s="11"/>
      <c r="N66" s="585">
        <f>N53-N65</f>
        <v>0</v>
      </c>
    </row>
    <row r="67" spans="1:14" s="1" customFormat="1" ht="11.25">
      <c r="A67" s="1" t="s">
        <v>569</v>
      </c>
      <c r="B67" s="167">
        <f>(B65-B47)/B57</f>
        <v>3.8454</v>
      </c>
      <c r="C67" s="117">
        <f>(C65-C47)/C57</f>
        <v>19.942</v>
      </c>
      <c r="D67" s="117">
        <f>(D65-D47)/D57</f>
        <v>3.9282945736434107</v>
      </c>
      <c r="E67" s="117">
        <v>0</v>
      </c>
      <c r="F67" s="117">
        <f aca="true" t="shared" si="10" ref="F67:K67">(F65-F47)/F57</f>
        <v>1.1194859813084113</v>
      </c>
      <c r="G67" s="117">
        <f t="shared" si="10"/>
        <v>7.6219</v>
      </c>
      <c r="H67" s="117">
        <f t="shared" si="10"/>
        <v>-0.02</v>
      </c>
      <c r="I67" s="117">
        <f t="shared" si="10"/>
        <v>-398</v>
      </c>
      <c r="J67" s="117">
        <f t="shared" si="10"/>
        <v>2.852</v>
      </c>
      <c r="K67" s="117">
        <f t="shared" si="10"/>
        <v>3.381583310612146</v>
      </c>
      <c r="L67" s="117"/>
      <c r="M67" s="117"/>
      <c r="N67" s="586">
        <f>(N65-N47-N45-N62)/N57</f>
        <v>4.125414285714286</v>
      </c>
    </row>
    <row r="69" ht="3" customHeight="1"/>
    <row r="70" spans="1:14" ht="14.25">
      <c r="A70" s="314" t="s">
        <v>313</v>
      </c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477"/>
      <c r="N70" s="478"/>
    </row>
    <row r="71" spans="1:14" ht="13.5">
      <c r="A71" s="270"/>
      <c r="B71" s="271"/>
      <c r="C71" s="271"/>
      <c r="D71" s="271"/>
      <c r="E71" s="271"/>
      <c r="F71" s="272" t="s">
        <v>726</v>
      </c>
      <c r="G71" s="271"/>
      <c r="H71" s="271"/>
      <c r="I71" s="271"/>
      <c r="J71" s="271"/>
      <c r="K71" s="271"/>
      <c r="L71" s="271"/>
      <c r="M71" s="212"/>
      <c r="N71" s="319"/>
    </row>
    <row r="72" spans="1:14" ht="13.5">
      <c r="A72" s="270"/>
      <c r="B72" s="271"/>
      <c r="C72" s="271"/>
      <c r="D72" s="272" t="s">
        <v>101</v>
      </c>
      <c r="E72" s="272" t="s">
        <v>726</v>
      </c>
      <c r="F72" s="272" t="s">
        <v>727</v>
      </c>
      <c r="G72" s="272" t="s">
        <v>728</v>
      </c>
      <c r="H72" s="271"/>
      <c r="I72" s="272" t="s">
        <v>385</v>
      </c>
      <c r="J72" s="271"/>
      <c r="K72" s="271"/>
      <c r="L72" s="271"/>
      <c r="M72" s="313"/>
      <c r="N72" s="319"/>
    </row>
    <row r="73" spans="1:14" ht="13.5">
      <c r="A73" s="270"/>
      <c r="B73" s="271"/>
      <c r="C73" s="271"/>
      <c r="D73" s="271"/>
      <c r="E73" s="271"/>
      <c r="F73" s="271" t="s">
        <v>731</v>
      </c>
      <c r="G73" s="271" t="s">
        <v>595</v>
      </c>
      <c r="H73" s="271"/>
      <c r="I73" s="271"/>
      <c r="J73" s="271"/>
      <c r="K73" s="271"/>
      <c r="L73" s="271"/>
      <c r="M73" s="313"/>
      <c r="N73" s="319"/>
    </row>
    <row r="74" spans="1:14" ht="13.5">
      <c r="A74" s="270" t="s">
        <v>732</v>
      </c>
      <c r="B74" s="271"/>
      <c r="C74" s="271"/>
      <c r="D74" s="273">
        <f>G65</f>
        <v>76219</v>
      </c>
      <c r="E74" s="273">
        <f>F65</f>
        <v>47914</v>
      </c>
      <c r="F74" s="273">
        <v>0</v>
      </c>
      <c r="G74" s="273">
        <f>'[3]cbs-MI'!G5</f>
        <v>-1</v>
      </c>
      <c r="H74" s="271"/>
      <c r="I74" s="271"/>
      <c r="J74" s="273"/>
      <c r="K74" s="271"/>
      <c r="L74" s="271"/>
      <c r="M74" s="313"/>
      <c r="N74" s="319"/>
    </row>
    <row r="75" spans="1:14" ht="4.5" customHeight="1">
      <c r="A75" s="270"/>
      <c r="B75" s="271"/>
      <c r="C75" s="271"/>
      <c r="D75" s="273"/>
      <c r="E75" s="273"/>
      <c r="F75" s="273"/>
      <c r="G75" s="273"/>
      <c r="H75" s="271"/>
      <c r="I75" s="271"/>
      <c r="J75" s="273"/>
      <c r="K75" s="271"/>
      <c r="L75" s="271"/>
      <c r="M75" s="313"/>
      <c r="N75" s="319"/>
    </row>
    <row r="76" spans="1:14" ht="13.5">
      <c r="A76" s="270" t="s">
        <v>733</v>
      </c>
      <c r="B76" s="271"/>
      <c r="C76" s="271"/>
      <c r="D76" s="273"/>
      <c r="E76" s="273">
        <v>-5100</v>
      </c>
      <c r="F76" s="273"/>
      <c r="G76" s="273"/>
      <c r="H76" s="271"/>
      <c r="I76" s="271"/>
      <c r="J76" s="273"/>
      <c r="K76" s="271"/>
      <c r="L76" s="271"/>
      <c r="M76" s="313"/>
      <c r="N76" s="319"/>
    </row>
    <row r="77" spans="1:14" ht="13.5">
      <c r="A77" s="270" t="s">
        <v>734</v>
      </c>
      <c r="B77" s="271"/>
      <c r="C77" s="271"/>
      <c r="D77" s="273"/>
      <c r="E77" s="273"/>
      <c r="F77" s="273"/>
      <c r="G77" s="273"/>
      <c r="H77" s="271"/>
      <c r="I77" s="271"/>
      <c r="J77" s="273"/>
      <c r="K77" s="271"/>
      <c r="L77" s="271"/>
      <c r="M77" s="313"/>
      <c r="N77" s="319"/>
    </row>
    <row r="78" spans="1:14" ht="13.5">
      <c r="A78" s="270" t="s">
        <v>735</v>
      </c>
      <c r="B78" s="271"/>
      <c r="C78" s="271"/>
      <c r="D78" s="268"/>
      <c r="E78" s="268"/>
      <c r="F78" s="268"/>
      <c r="G78" s="268"/>
      <c r="H78" s="271"/>
      <c r="I78" s="271"/>
      <c r="J78" s="273"/>
      <c r="K78" s="271"/>
      <c r="L78" s="271"/>
      <c r="M78" s="313"/>
      <c r="N78" s="319"/>
    </row>
    <row r="79" spans="1:14" ht="13.5">
      <c r="A79" s="270"/>
      <c r="B79" s="271"/>
      <c r="C79" s="271"/>
      <c r="D79" s="273">
        <f>SUM(D74:D76)</f>
        <v>76219</v>
      </c>
      <c r="E79" s="273">
        <f>SUM(E74:E76)</f>
        <v>42814</v>
      </c>
      <c r="F79" s="273">
        <f>F74</f>
        <v>0</v>
      </c>
      <c r="G79" s="273">
        <f>SUM(G74:G76)</f>
        <v>-1</v>
      </c>
      <c r="H79" s="271"/>
      <c r="I79" s="271"/>
      <c r="J79" s="273"/>
      <c r="K79" s="271"/>
      <c r="L79" s="271"/>
      <c r="M79" s="313"/>
      <c r="N79" s="319"/>
    </row>
    <row r="80" spans="1:14" ht="5.25" customHeight="1">
      <c r="A80" s="270"/>
      <c r="B80" s="271"/>
      <c r="C80" s="271"/>
      <c r="D80" s="273"/>
      <c r="E80" s="273"/>
      <c r="F80" s="273"/>
      <c r="G80" s="273"/>
      <c r="H80" s="271"/>
      <c r="I80" s="271"/>
      <c r="J80" s="273"/>
      <c r="K80" s="271"/>
      <c r="L80" s="271"/>
      <c r="M80" s="313"/>
      <c r="N80" s="319"/>
    </row>
    <row r="81" spans="1:14" ht="13.5">
      <c r="A81" s="270" t="s">
        <v>736</v>
      </c>
      <c r="B81" s="271"/>
      <c r="C81" s="271"/>
      <c r="D81" s="316">
        <v>0.4999</v>
      </c>
      <c r="E81" s="316">
        <v>0.3884</v>
      </c>
      <c r="F81" s="317"/>
      <c r="G81" s="316">
        <v>0.49</v>
      </c>
      <c r="H81" s="271"/>
      <c r="I81" s="271"/>
      <c r="J81" s="316"/>
      <c r="K81" s="271"/>
      <c r="L81" s="271"/>
      <c r="M81" s="313"/>
      <c r="N81" s="319"/>
    </row>
    <row r="82" spans="1:14" ht="4.5" customHeight="1">
      <c r="A82" s="270"/>
      <c r="B82" s="271"/>
      <c r="C82" s="271"/>
      <c r="D82" s="268"/>
      <c r="E82" s="268"/>
      <c r="F82" s="268"/>
      <c r="G82" s="268"/>
      <c r="H82" s="271"/>
      <c r="I82" s="271"/>
      <c r="J82" s="273"/>
      <c r="K82" s="271"/>
      <c r="L82" s="271"/>
      <c r="M82" s="313"/>
      <c r="N82" s="319"/>
    </row>
    <row r="83" spans="1:14" ht="13.5">
      <c r="A83" s="270"/>
      <c r="B83" s="271"/>
      <c r="C83" s="271"/>
      <c r="D83" s="273">
        <f>D79*D81</f>
        <v>38101.8781</v>
      </c>
      <c r="E83" s="273">
        <f>E79*E81</f>
        <v>16628.9576</v>
      </c>
      <c r="F83" s="273">
        <f>F79</f>
        <v>0</v>
      </c>
      <c r="G83" s="273">
        <f>(G81*G79)</f>
        <v>-0.49</v>
      </c>
      <c r="H83" s="271"/>
      <c r="I83" s="318">
        <f>SUM(D83:G83)</f>
        <v>54730.345700000005</v>
      </c>
      <c r="J83" s="273"/>
      <c r="K83" s="271"/>
      <c r="L83" s="271"/>
      <c r="M83" s="313"/>
      <c r="N83" s="319"/>
    </row>
    <row r="84" spans="1:14" ht="13.5">
      <c r="A84" s="270" t="s">
        <v>741</v>
      </c>
      <c r="B84" s="313"/>
      <c r="C84" s="313"/>
      <c r="D84" s="313"/>
      <c r="E84" s="313"/>
      <c r="F84" s="313"/>
      <c r="G84" s="313"/>
      <c r="H84" s="313"/>
      <c r="I84" s="271"/>
      <c r="J84" s="313"/>
      <c r="K84" s="271" t="s">
        <v>742</v>
      </c>
      <c r="L84" s="271"/>
      <c r="M84" s="313"/>
      <c r="N84" s="319"/>
    </row>
    <row r="85" spans="1:14" ht="13.5">
      <c r="A85" s="270" t="s">
        <v>955</v>
      </c>
      <c r="B85" s="271"/>
      <c r="C85" s="271"/>
      <c r="D85" s="273"/>
      <c r="E85" s="273"/>
      <c r="F85" s="273"/>
      <c r="G85" s="273"/>
      <c r="H85" s="271"/>
      <c r="I85" s="271">
        <v>177</v>
      </c>
      <c r="J85" s="273"/>
      <c r="K85" s="271" t="s">
        <v>743</v>
      </c>
      <c r="L85" s="271"/>
      <c r="M85" s="313"/>
      <c r="N85" s="319"/>
    </row>
    <row r="86" spans="1:14" ht="13.5">
      <c r="A86" s="270"/>
      <c r="B86" s="273" t="s">
        <v>954</v>
      </c>
      <c r="C86" s="271"/>
      <c r="D86" s="212"/>
      <c r="E86" s="273"/>
      <c r="F86" s="273"/>
      <c r="G86" s="273"/>
      <c r="H86" s="271"/>
      <c r="I86" s="271">
        <v>23</v>
      </c>
      <c r="J86" s="273"/>
      <c r="K86" s="271" t="s">
        <v>838</v>
      </c>
      <c r="L86" s="271"/>
      <c r="M86" s="313"/>
      <c r="N86" s="319"/>
    </row>
    <row r="87" spans="1:14" ht="13.5">
      <c r="A87" s="270"/>
      <c r="B87" s="273" t="s">
        <v>579</v>
      </c>
      <c r="C87" s="271"/>
      <c r="D87" s="212"/>
      <c r="E87" s="273"/>
      <c r="F87" s="273"/>
      <c r="G87" s="273"/>
      <c r="H87" s="271"/>
      <c r="I87" s="479">
        <f>196+99</f>
        <v>295</v>
      </c>
      <c r="J87" s="273"/>
      <c r="K87" s="271" t="s">
        <v>596</v>
      </c>
      <c r="L87" s="271"/>
      <c r="M87" s="313"/>
      <c r="N87" s="319"/>
    </row>
    <row r="88" spans="1:14" ht="13.5">
      <c r="A88" s="270" t="s">
        <v>841</v>
      </c>
      <c r="B88" s="271"/>
      <c r="C88" s="271"/>
      <c r="D88" s="273"/>
      <c r="E88" s="273"/>
      <c r="F88" s="273"/>
      <c r="G88" s="273"/>
      <c r="H88" s="271"/>
      <c r="I88" s="271">
        <v>155</v>
      </c>
      <c r="J88" s="273"/>
      <c r="K88" s="271" t="s">
        <v>838</v>
      </c>
      <c r="L88" s="271"/>
      <c r="M88" s="313"/>
      <c r="N88" s="319"/>
    </row>
    <row r="89" spans="1:14" ht="13.5">
      <c r="A89" s="270" t="s">
        <v>739</v>
      </c>
      <c r="B89" s="271"/>
      <c r="C89" s="271"/>
      <c r="D89" s="271"/>
      <c r="E89" s="271"/>
      <c r="F89" s="271"/>
      <c r="G89" s="271"/>
      <c r="H89" s="271"/>
      <c r="I89" s="273">
        <v>3448</v>
      </c>
      <c r="J89" s="273"/>
      <c r="K89" s="271"/>
      <c r="L89" s="271"/>
      <c r="M89" s="313"/>
      <c r="N89" s="319"/>
    </row>
    <row r="90" spans="1:14" ht="13.5">
      <c r="A90" s="270" t="s">
        <v>740</v>
      </c>
      <c r="B90" s="271"/>
      <c r="C90" s="271"/>
      <c r="D90" s="271"/>
      <c r="E90" s="271"/>
      <c r="F90" s="271"/>
      <c r="G90" s="271"/>
      <c r="H90" s="271"/>
      <c r="I90" s="273">
        <v>73390</v>
      </c>
      <c r="J90" s="273"/>
      <c r="K90" s="271"/>
      <c r="L90" s="271"/>
      <c r="M90" s="313"/>
      <c r="N90" s="319"/>
    </row>
    <row r="91" spans="1:16" ht="14.25" thickBot="1">
      <c r="A91" s="270"/>
      <c r="B91" s="271"/>
      <c r="C91" s="271"/>
      <c r="D91" s="271"/>
      <c r="E91" s="271"/>
      <c r="F91" s="271"/>
      <c r="G91" s="271"/>
      <c r="H91" s="271"/>
      <c r="I91" s="395">
        <f>SUM(I83:I90)</f>
        <v>132218.3457</v>
      </c>
      <c r="J91" s="273"/>
      <c r="K91" s="271"/>
      <c r="L91" s="271"/>
      <c r="M91" s="313"/>
      <c r="N91" s="319"/>
      <c r="P91" s="498"/>
    </row>
    <row r="92" spans="1:16" ht="14.25">
      <c r="A92" s="275" t="s">
        <v>850</v>
      </c>
      <c r="B92" s="272" t="s">
        <v>59</v>
      </c>
      <c r="C92" s="272" t="s">
        <v>59</v>
      </c>
      <c r="D92" s="272" t="s">
        <v>59</v>
      </c>
      <c r="F92" s="480" t="s">
        <v>227</v>
      </c>
      <c r="H92" s="271"/>
      <c r="I92" s="273"/>
      <c r="J92" s="273"/>
      <c r="K92" s="271"/>
      <c r="L92" s="271"/>
      <c r="M92" s="313"/>
      <c r="N92" s="319"/>
      <c r="P92" s="476"/>
    </row>
    <row r="93" spans="1:16" ht="13.5">
      <c r="A93" s="270" t="s">
        <v>228</v>
      </c>
      <c r="B93" s="276">
        <f>43293-10824</f>
        <v>32469</v>
      </c>
      <c r="D93" s="325"/>
      <c r="G93" s="271"/>
      <c r="H93" s="271"/>
      <c r="I93" s="272" t="s">
        <v>726</v>
      </c>
      <c r="J93" s="272" t="s">
        <v>726</v>
      </c>
      <c r="K93" s="271"/>
      <c r="L93" s="271"/>
      <c r="M93" s="212"/>
      <c r="N93" s="319"/>
      <c r="P93" s="498"/>
    </row>
    <row r="94" spans="1:14" ht="13.5">
      <c r="A94" s="270" t="s">
        <v>311</v>
      </c>
      <c r="B94" s="273">
        <v>-1083</v>
      </c>
      <c r="C94" s="325"/>
      <c r="D94" s="325"/>
      <c r="F94" s="267"/>
      <c r="G94" s="267"/>
      <c r="H94" s="272" t="s">
        <v>101</v>
      </c>
      <c r="I94" s="272" t="s">
        <v>314</v>
      </c>
      <c r="J94" s="272" t="s">
        <v>727</v>
      </c>
      <c r="K94" s="272" t="s">
        <v>728</v>
      </c>
      <c r="L94" s="272" t="s">
        <v>385</v>
      </c>
      <c r="M94" s="481" t="s">
        <v>395</v>
      </c>
      <c r="N94" s="319"/>
    </row>
    <row r="95" spans="1:14" ht="13.5">
      <c r="A95" s="270"/>
      <c r="B95" s="277">
        <f>SUM(B93:B94)</f>
        <v>31386</v>
      </c>
      <c r="C95" s="325">
        <v>0</v>
      </c>
      <c r="D95" s="325">
        <f>SUM(B95:C95)</f>
        <v>31386</v>
      </c>
      <c r="F95" s="267"/>
      <c r="G95" s="267"/>
      <c r="H95" s="267" t="s">
        <v>229</v>
      </c>
      <c r="I95" s="325"/>
      <c r="J95" s="313"/>
      <c r="K95" s="313"/>
      <c r="L95" s="313"/>
      <c r="M95" s="212"/>
      <c r="N95" s="319"/>
    </row>
    <row r="96" spans="1:14" ht="13.5">
      <c r="A96" s="270"/>
      <c r="B96" s="276"/>
      <c r="C96" s="325"/>
      <c r="D96" s="325">
        <v>0</v>
      </c>
      <c r="F96" s="267" t="s">
        <v>230</v>
      </c>
      <c r="G96" s="267"/>
      <c r="H96" s="566">
        <v>2964</v>
      </c>
      <c r="I96" s="325">
        <v>715</v>
      </c>
      <c r="J96" s="313">
        <v>0</v>
      </c>
      <c r="K96" s="482">
        <v>0</v>
      </c>
      <c r="L96" s="325">
        <f>SUM(H96:K96)</f>
        <v>3679</v>
      </c>
      <c r="M96" s="212"/>
      <c r="N96" s="319"/>
    </row>
    <row r="97" spans="1:14" ht="13.5">
      <c r="A97" s="270" t="s">
        <v>194</v>
      </c>
      <c r="B97" s="276"/>
      <c r="C97" s="325"/>
      <c r="D97" s="325">
        <v>0</v>
      </c>
      <c r="F97" s="267" t="s">
        <v>231</v>
      </c>
      <c r="G97" s="267"/>
      <c r="H97" s="483">
        <v>0.4999</v>
      </c>
      <c r="I97" s="483">
        <v>0.3884</v>
      </c>
      <c r="J97" s="483">
        <v>0.1961</v>
      </c>
      <c r="K97" s="483">
        <v>0.49</v>
      </c>
      <c r="L97" s="313"/>
      <c r="M97" s="212"/>
      <c r="N97" s="319"/>
    </row>
    <row r="98" spans="1:14" ht="13.5">
      <c r="A98" s="270"/>
      <c r="B98" s="276"/>
      <c r="C98" s="325"/>
      <c r="D98" s="394">
        <f>SUM(D95:D97)</f>
        <v>31386</v>
      </c>
      <c r="F98" s="267"/>
      <c r="G98" s="267"/>
      <c r="H98" s="484">
        <v>1482</v>
      </c>
      <c r="I98" s="484">
        <f>I96*I97</f>
        <v>277.706</v>
      </c>
      <c r="J98" s="484">
        <f>J96*J97</f>
        <v>0</v>
      </c>
      <c r="K98" s="484">
        <f>K96*K97</f>
        <v>0</v>
      </c>
      <c r="L98" s="485">
        <f>SUM(H98:K98)</f>
        <v>1759.7060000000001</v>
      </c>
      <c r="M98" s="212"/>
      <c r="N98" s="319"/>
    </row>
    <row r="99" spans="1:14" ht="4.5" customHeight="1">
      <c r="A99" s="320"/>
      <c r="B99" s="212"/>
      <c r="C99" s="271"/>
      <c r="D99" s="271"/>
      <c r="F99" s="271"/>
      <c r="G99" s="271"/>
      <c r="H99" s="486"/>
      <c r="I99" s="486"/>
      <c r="J99" s="487"/>
      <c r="K99" s="487"/>
      <c r="L99" s="486"/>
      <c r="M99" s="212"/>
      <c r="N99" s="319"/>
    </row>
    <row r="100" spans="1:14" ht="15" thickBot="1">
      <c r="A100" s="275" t="s">
        <v>66</v>
      </c>
      <c r="B100" s="271"/>
      <c r="F100" s="271" t="s">
        <v>337</v>
      </c>
      <c r="G100" s="271"/>
      <c r="H100" s="486"/>
      <c r="I100" s="486"/>
      <c r="J100" s="487"/>
      <c r="K100" s="487"/>
      <c r="L100" s="488">
        <v>-132</v>
      </c>
      <c r="M100" s="489">
        <f>SUM(L98:L100)</f>
        <v>1627.7060000000001</v>
      </c>
      <c r="N100" s="319"/>
    </row>
    <row r="101" spans="1:14" ht="3" customHeight="1" thickTop="1">
      <c r="A101" s="275"/>
      <c r="B101" s="271"/>
      <c r="C101" s="271"/>
      <c r="F101" s="271"/>
      <c r="G101" s="271"/>
      <c r="H101" s="486"/>
      <c r="I101" s="486"/>
      <c r="J101" s="487"/>
      <c r="K101" s="487"/>
      <c r="M101" s="212"/>
      <c r="N101" s="319"/>
    </row>
    <row r="102" spans="1:14" ht="14.25">
      <c r="A102" s="275"/>
      <c r="B102" s="271"/>
      <c r="C102" s="271"/>
      <c r="F102" s="328" t="s">
        <v>958</v>
      </c>
      <c r="G102" s="271"/>
      <c r="H102" s="271"/>
      <c r="I102" s="271"/>
      <c r="J102" s="271"/>
      <c r="K102" s="273"/>
      <c r="L102" s="271"/>
      <c r="M102" s="313"/>
      <c r="N102" s="319"/>
    </row>
    <row r="103" spans="1:14" ht="13.5">
      <c r="A103" s="270" t="s">
        <v>228</v>
      </c>
      <c r="B103" s="271">
        <v>935</v>
      </c>
      <c r="C103" s="271"/>
      <c r="F103" s="271" t="s">
        <v>175</v>
      </c>
      <c r="G103" s="271"/>
      <c r="H103" s="271"/>
      <c r="I103" s="271"/>
      <c r="J103" s="271"/>
      <c r="K103" s="273">
        <f>3992-1210</f>
        <v>2782</v>
      </c>
      <c r="L103" s="271"/>
      <c r="M103" s="313"/>
      <c r="N103" s="319"/>
    </row>
    <row r="104" spans="1:14" ht="13.5">
      <c r="A104" s="270" t="s">
        <v>312</v>
      </c>
      <c r="B104" s="273">
        <f>-15*2</f>
        <v>-30</v>
      </c>
      <c r="C104" s="271"/>
      <c r="F104" s="271" t="s">
        <v>324</v>
      </c>
      <c r="G104" s="271"/>
      <c r="H104" s="271"/>
      <c r="I104" s="271"/>
      <c r="J104" s="271"/>
      <c r="K104" s="273">
        <v>-84</v>
      </c>
      <c r="L104" s="271"/>
      <c r="M104" s="313"/>
      <c r="N104" s="319"/>
    </row>
    <row r="105" spans="1:14" ht="13.5">
      <c r="A105" s="312"/>
      <c r="B105" s="397">
        <f>SUM(B103:B104)</f>
        <v>905</v>
      </c>
      <c r="C105" s="274"/>
      <c r="D105" s="490"/>
      <c r="E105" s="490"/>
      <c r="F105" s="274"/>
      <c r="G105" s="274"/>
      <c r="H105" s="274"/>
      <c r="I105" s="274"/>
      <c r="J105" s="274"/>
      <c r="K105" s="396">
        <f>SUM(K103:K104)</f>
        <v>2698</v>
      </c>
      <c r="L105" s="274"/>
      <c r="M105" s="274"/>
      <c r="N105" s="491"/>
    </row>
    <row r="106" spans="1:13" ht="12.75">
      <c r="A106" s="267"/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</row>
    <row r="107" spans="1:13" ht="12.75">
      <c r="A107" s="267"/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</row>
    <row r="108" spans="1:13" ht="12.75">
      <c r="A108" s="267"/>
      <c r="B108" s="267"/>
      <c r="C108" s="267"/>
      <c r="D108" s="267"/>
      <c r="E108" s="267"/>
      <c r="F108" s="267"/>
      <c r="G108" s="267" t="s">
        <v>984</v>
      </c>
      <c r="H108" s="267">
        <v>1482</v>
      </c>
      <c r="I108" s="267">
        <v>278</v>
      </c>
      <c r="J108" s="267">
        <v>-528</v>
      </c>
      <c r="K108" s="267"/>
      <c r="L108" s="267"/>
      <c r="M108" s="267"/>
    </row>
    <row r="109" spans="1:13" ht="14.25">
      <c r="A109" s="278" t="s">
        <v>204</v>
      </c>
      <c r="B109" s="267"/>
      <c r="C109" s="267"/>
      <c r="D109" s="267"/>
      <c r="E109" s="267"/>
      <c r="F109" s="267"/>
      <c r="G109" s="267" t="s">
        <v>985</v>
      </c>
      <c r="H109" s="267">
        <v>1043</v>
      </c>
      <c r="I109" s="267">
        <v>-94</v>
      </c>
      <c r="J109" s="267">
        <v>265</v>
      </c>
      <c r="K109" s="267"/>
      <c r="L109" s="267"/>
      <c r="M109" s="267"/>
    </row>
    <row r="110" spans="1:13" ht="12.75">
      <c r="A110" s="267"/>
      <c r="B110" s="267"/>
      <c r="C110" s="267"/>
      <c r="D110" s="267"/>
      <c r="E110" s="267"/>
      <c r="F110" s="267"/>
      <c r="G110" s="267" t="s">
        <v>986</v>
      </c>
      <c r="H110" s="267">
        <f>H108-H109</f>
        <v>439</v>
      </c>
      <c r="I110" s="267">
        <f>I108-I109</f>
        <v>372</v>
      </c>
      <c r="J110" s="267">
        <f>J108-J109</f>
        <v>-793</v>
      </c>
      <c r="K110" s="267"/>
      <c r="L110" s="267"/>
      <c r="M110" s="267"/>
    </row>
    <row r="111" spans="1:13" ht="12.75">
      <c r="A111" s="267" t="s">
        <v>325</v>
      </c>
      <c r="B111" s="566">
        <v>-110255</v>
      </c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</row>
    <row r="112" spans="1:13" ht="12.75">
      <c r="A112" s="267" t="s">
        <v>326</v>
      </c>
      <c r="B112" s="566">
        <v>-177582</v>
      </c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</row>
    <row r="113" spans="1:13" ht="12.75">
      <c r="A113" s="267" t="s">
        <v>327</v>
      </c>
      <c r="B113" s="567">
        <v>-131468</v>
      </c>
      <c r="C113" s="267"/>
      <c r="D113" s="575"/>
      <c r="E113" s="267"/>
      <c r="F113" s="267"/>
      <c r="G113" s="267"/>
      <c r="H113" s="267"/>
      <c r="I113" s="267"/>
      <c r="J113" s="267"/>
      <c r="K113" s="267"/>
      <c r="L113" s="267"/>
      <c r="M113" s="267"/>
    </row>
    <row r="114" spans="1:13" ht="12.75">
      <c r="A114" s="267"/>
      <c r="B114" s="566">
        <f>SUM(B111:B113)</f>
        <v>-419305</v>
      </c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</row>
    <row r="115" spans="1:13" ht="12.75">
      <c r="A115" s="565" t="s">
        <v>74</v>
      </c>
      <c r="B115" s="568">
        <v>0.2</v>
      </c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</row>
    <row r="116" spans="2:4" ht="13.5" thickBot="1">
      <c r="B116" s="569">
        <f>B114*20%</f>
        <v>-83861</v>
      </c>
      <c r="C116" s="570"/>
      <c r="D116" s="576"/>
    </row>
    <row r="117" ht="13.5" thickTop="1"/>
  </sheetData>
  <mergeCells count="1">
    <mergeCell ref="L4:M4"/>
  </mergeCells>
  <printOptions/>
  <pageMargins left="0.51" right="0.66" top="0.6" bottom="0.32" header="0.38" footer="0.23"/>
  <pageSetup horizontalDpi="360" verticalDpi="36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0"/>
  <sheetViews>
    <sheetView workbookViewId="0" topLeftCell="H8">
      <selection activeCell="N25" sqref="N25"/>
    </sheetView>
  </sheetViews>
  <sheetFormatPr defaultColWidth="9.140625" defaultRowHeight="12.75"/>
  <cols>
    <col min="1" max="1" width="4.7109375" style="0" customWidth="1"/>
    <col min="2" max="2" width="30.8515625" style="0" customWidth="1"/>
    <col min="3" max="4" width="8.7109375" style="0" customWidth="1"/>
    <col min="5" max="6" width="8.28125" style="0" customWidth="1"/>
    <col min="7" max="8" width="8.57421875" style="0" customWidth="1"/>
    <col min="9" max="9" width="7.8515625" style="0" customWidth="1"/>
    <col min="15" max="15" width="10.7109375" style="0" customWidth="1"/>
    <col min="16" max="16" width="10.57421875" style="0" customWidth="1"/>
  </cols>
  <sheetData>
    <row r="2" spans="1:16" ht="12.75">
      <c r="A2" s="5" t="s">
        <v>95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6" t="s">
        <v>849</v>
      </c>
    </row>
    <row r="3" spans="1:16" ht="12.75">
      <c r="A3" s="5" t="s">
        <v>256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</row>
    <row r="4" spans="1:16" ht="12.75">
      <c r="A4" s="1" t="s">
        <v>408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3"/>
      <c r="B6" s="33"/>
      <c r="C6" s="528" t="s">
        <v>96</v>
      </c>
      <c r="D6" s="526" t="s">
        <v>97</v>
      </c>
      <c r="E6" s="526" t="s">
        <v>98</v>
      </c>
      <c r="F6" s="526" t="s">
        <v>24</v>
      </c>
      <c r="G6" s="526" t="s">
        <v>100</v>
      </c>
      <c r="H6" s="526" t="s">
        <v>101</v>
      </c>
      <c r="I6" s="526" t="s">
        <v>102</v>
      </c>
      <c r="J6" s="528" t="s">
        <v>103</v>
      </c>
      <c r="K6" s="528" t="s">
        <v>104</v>
      </c>
      <c r="L6" s="34" t="s">
        <v>105</v>
      </c>
      <c r="M6" s="601" t="s">
        <v>106</v>
      </c>
      <c r="N6" s="602"/>
      <c r="O6" s="34">
        <v>2002</v>
      </c>
      <c r="P6" s="528">
        <v>2001</v>
      </c>
    </row>
    <row r="7" spans="1:16" ht="12.75">
      <c r="A7" s="36"/>
      <c r="B7" s="36"/>
      <c r="C7" s="530" t="s">
        <v>107</v>
      </c>
      <c r="D7" s="527"/>
      <c r="E7" s="527"/>
      <c r="F7" s="527" t="s">
        <v>878</v>
      </c>
      <c r="G7" s="527" t="s">
        <v>110</v>
      </c>
      <c r="H7" s="529"/>
      <c r="I7" s="527" t="s">
        <v>930</v>
      </c>
      <c r="J7" s="530" t="s">
        <v>111</v>
      </c>
      <c r="K7" s="530" t="s">
        <v>931</v>
      </c>
      <c r="L7" s="37"/>
      <c r="M7" s="38"/>
      <c r="N7" s="37"/>
      <c r="O7" s="37" t="s">
        <v>929</v>
      </c>
      <c r="P7" s="530" t="s">
        <v>929</v>
      </c>
    </row>
    <row r="8" spans="1:16" ht="12.75">
      <c r="A8" s="40"/>
      <c r="B8" s="40"/>
      <c r="C8" s="41"/>
      <c r="D8" s="42">
        <v>1</v>
      </c>
      <c r="E8" s="42">
        <v>1</v>
      </c>
      <c r="F8" s="42">
        <v>1</v>
      </c>
      <c r="G8" s="43">
        <f>1-0.3884</f>
        <v>0.6115999999999999</v>
      </c>
      <c r="H8" s="40" t="s">
        <v>112</v>
      </c>
      <c r="I8" s="42">
        <v>1</v>
      </c>
      <c r="J8" s="44">
        <v>0.51</v>
      </c>
      <c r="K8" s="44">
        <v>1</v>
      </c>
      <c r="L8" s="44"/>
      <c r="M8" s="45" t="s">
        <v>113</v>
      </c>
      <c r="N8" s="46" t="s">
        <v>114</v>
      </c>
      <c r="O8" s="105"/>
      <c r="P8" s="106"/>
    </row>
    <row r="9" spans="1:16" ht="12.75">
      <c r="A9" s="33"/>
      <c r="B9" s="33"/>
      <c r="C9" s="48"/>
      <c r="D9" s="33"/>
      <c r="E9" s="33"/>
      <c r="F9" s="33"/>
      <c r="G9" s="33"/>
      <c r="H9" s="33"/>
      <c r="I9" s="33"/>
      <c r="J9" s="33"/>
      <c r="K9" s="33"/>
      <c r="L9" s="33"/>
      <c r="M9" s="33"/>
      <c r="N9" s="104"/>
      <c r="O9" s="33"/>
      <c r="P9" s="48"/>
    </row>
    <row r="10" spans="1:16" ht="13.5" thickBot="1">
      <c r="A10" s="49" t="s">
        <v>409</v>
      </c>
      <c r="B10" s="40" t="s">
        <v>752</v>
      </c>
      <c r="C10" s="50">
        <f>694+74+1012</f>
        <v>1780</v>
      </c>
      <c r="D10" s="51">
        <v>9481</v>
      </c>
      <c r="E10" s="51">
        <v>44053</v>
      </c>
      <c r="F10" s="51">
        <v>0</v>
      </c>
      <c r="G10" s="51">
        <v>8378</v>
      </c>
      <c r="H10" s="51">
        <v>10836</v>
      </c>
      <c r="I10" s="51">
        <v>0</v>
      </c>
      <c r="J10" s="51">
        <v>0</v>
      </c>
      <c r="K10" s="51">
        <v>0</v>
      </c>
      <c r="L10" s="51">
        <f>SUM(C10:K10)</f>
        <v>74528</v>
      </c>
      <c r="M10" s="51">
        <v>694</v>
      </c>
      <c r="N10" s="51"/>
      <c r="O10" s="54">
        <f>L10-M10</f>
        <v>73834</v>
      </c>
      <c r="P10" s="54">
        <v>82136</v>
      </c>
    </row>
    <row r="11" spans="1:16" ht="12.75">
      <c r="A11" s="52"/>
      <c r="B11" s="4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51"/>
      <c r="O11" s="51"/>
      <c r="P11" s="51"/>
    </row>
    <row r="12" spans="1:16" ht="13.5" thickBot="1">
      <c r="A12" s="52" t="s">
        <v>402</v>
      </c>
      <c r="B12" s="40" t="s">
        <v>433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f>SUM(C12:K12)</f>
        <v>0</v>
      </c>
      <c r="M12" s="51"/>
      <c r="N12" s="51"/>
      <c r="O12" s="54">
        <f>L12</f>
        <v>0</v>
      </c>
      <c r="P12" s="54">
        <f>'cpl-qtr1'!S11+'cpl-qtr2'!P12+'cpl-qtr3'!P12+'cpl-qtr4'!P12</f>
        <v>0</v>
      </c>
    </row>
    <row r="13" spans="1:16" ht="12.75">
      <c r="A13" s="52"/>
      <c r="B13" s="40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63">
        <v>136</v>
      </c>
      <c r="N13" s="51"/>
      <c r="O13" s="51"/>
      <c r="P13" s="51"/>
    </row>
    <row r="14" spans="1:16" ht="13.5" thickBot="1">
      <c r="A14" s="49" t="s">
        <v>411</v>
      </c>
      <c r="B14" s="40" t="s">
        <v>410</v>
      </c>
      <c r="C14" s="50">
        <f>6+37+434</f>
        <v>477</v>
      </c>
      <c r="D14" s="51">
        <v>227</v>
      </c>
      <c r="E14" s="51">
        <v>64</v>
      </c>
      <c r="F14" s="51">
        <v>27</v>
      </c>
      <c r="G14" s="51">
        <v>11</v>
      </c>
      <c r="H14" s="51">
        <v>66</v>
      </c>
      <c r="I14" s="51">
        <v>0</v>
      </c>
      <c r="J14" s="51">
        <v>0</v>
      </c>
      <c r="K14" s="51">
        <f>0+75</f>
        <v>75</v>
      </c>
      <c r="L14" s="51">
        <f>SUM(C14:K14)</f>
        <v>947</v>
      </c>
      <c r="M14" s="51">
        <v>6</v>
      </c>
      <c r="N14" s="51"/>
      <c r="O14" s="571">
        <f>L14-M13-M15</f>
        <v>811</v>
      </c>
      <c r="P14" s="54">
        <v>1984</v>
      </c>
    </row>
    <row r="15" spans="1:16" ht="12.75">
      <c r="A15" s="49"/>
      <c r="B15" s="4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2.75">
      <c r="A16" s="52"/>
      <c r="B16" s="40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24"/>
      <c r="N16" s="51"/>
      <c r="O16" s="51"/>
      <c r="P16" s="51"/>
    </row>
    <row r="17" spans="1:16" ht="12.75">
      <c r="A17" s="52"/>
      <c r="B17" s="40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2.75">
      <c r="A18" s="52"/>
      <c r="B18" s="4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4"/>
      <c r="N18" s="51"/>
      <c r="O18" s="51"/>
      <c r="P18" s="51"/>
    </row>
    <row r="19" spans="1:18" ht="12.75">
      <c r="A19" s="49" t="s">
        <v>412</v>
      </c>
      <c r="B19" s="40" t="s">
        <v>415</v>
      </c>
      <c r="C19" s="50">
        <f>1390+354+98</f>
        <v>1842</v>
      </c>
      <c r="D19" s="51">
        <v>2341</v>
      </c>
      <c r="E19" s="51">
        <v>3034</v>
      </c>
      <c r="F19" s="51">
        <v>17</v>
      </c>
      <c r="G19" s="51">
        <v>1767</v>
      </c>
      <c r="H19" s="51">
        <v>5565</v>
      </c>
      <c r="I19" s="51">
        <v>-2</v>
      </c>
      <c r="J19" s="51">
        <v>-42</v>
      </c>
      <c r="K19" s="51">
        <v>73</v>
      </c>
      <c r="L19" s="51">
        <f>SUM(C19:K19)</f>
        <v>14595</v>
      </c>
      <c r="M19" s="51">
        <v>136</v>
      </c>
      <c r="N19" s="51">
        <v>-30</v>
      </c>
      <c r="O19" s="51">
        <f>L19-M19-M20-N20-M17-M21-N19</f>
        <v>13795</v>
      </c>
      <c r="P19" s="51">
        <v>12895</v>
      </c>
      <c r="R19">
        <f>R24+R28+R22</f>
        <v>13118</v>
      </c>
    </row>
    <row r="20" spans="1:19" ht="12.75">
      <c r="A20" s="52"/>
      <c r="B20" s="40" t="s">
        <v>906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64">
        <v>694</v>
      </c>
      <c r="N20" s="51">
        <v>-6</v>
      </c>
      <c r="O20" s="51"/>
      <c r="P20" s="51"/>
      <c r="S20">
        <f>14582-R19</f>
        <v>1464</v>
      </c>
    </row>
    <row r="21" spans="1:16" ht="12.75">
      <c r="A21" s="52"/>
      <c r="B21" s="40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3">
        <v>6</v>
      </c>
      <c r="N21" s="51"/>
      <c r="O21" s="51"/>
      <c r="P21" s="51"/>
    </row>
    <row r="22" spans="1:18" ht="12.75">
      <c r="A22" s="52" t="s">
        <v>402</v>
      </c>
      <c r="B22" s="40" t="s">
        <v>1080</v>
      </c>
      <c r="C22" s="50">
        <v>354</v>
      </c>
      <c r="D22" s="51">
        <v>378</v>
      </c>
      <c r="E22" s="51">
        <v>106</v>
      </c>
      <c r="F22" s="51">
        <v>0</v>
      </c>
      <c r="G22" s="51">
        <v>281</v>
      </c>
      <c r="H22" s="51">
        <v>1057</v>
      </c>
      <c r="I22" s="51">
        <v>0</v>
      </c>
      <c r="J22" s="51">
        <v>0</v>
      </c>
      <c r="K22" s="51">
        <v>0</v>
      </c>
      <c r="L22" s="51">
        <f>SUM(C22:K22)</f>
        <v>2176</v>
      </c>
      <c r="M22" s="53"/>
      <c r="N22" s="563">
        <f>M19</f>
        <v>136</v>
      </c>
      <c r="O22" s="51">
        <f>L22-N22</f>
        <v>2040</v>
      </c>
      <c r="P22" s="51">
        <v>1840</v>
      </c>
      <c r="R22">
        <v>1122</v>
      </c>
    </row>
    <row r="23" spans="1:16" ht="12.75">
      <c r="A23" s="52"/>
      <c r="B23" s="4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3"/>
      <c r="N23" s="51"/>
      <c r="O23" s="51"/>
      <c r="P23" s="51"/>
    </row>
    <row r="24" spans="1:18" ht="12.75">
      <c r="A24" s="49" t="s">
        <v>411</v>
      </c>
      <c r="B24" s="40" t="s">
        <v>836</v>
      </c>
      <c r="C24" s="50">
        <f>71+27</f>
        <v>98</v>
      </c>
      <c r="D24" s="51">
        <v>40</v>
      </c>
      <c r="E24" s="51">
        <v>1039</v>
      </c>
      <c r="F24" s="51">
        <v>0</v>
      </c>
      <c r="G24" s="51">
        <v>771</v>
      </c>
      <c r="H24" s="51">
        <f>713</f>
        <v>713</v>
      </c>
      <c r="I24" s="51">
        <v>0</v>
      </c>
      <c r="J24" s="51">
        <v>0</v>
      </c>
      <c r="K24" s="51">
        <v>0</v>
      </c>
      <c r="L24" s="51">
        <f>SUM(C24:K24)</f>
        <v>2661</v>
      </c>
      <c r="M24" s="53">
        <v>1083</v>
      </c>
      <c r="N24" s="51"/>
      <c r="O24" s="51">
        <f>L24+M24</f>
        <v>3744</v>
      </c>
      <c r="P24" s="51">
        <v>4589</v>
      </c>
      <c r="R24">
        <v>4801</v>
      </c>
    </row>
    <row r="25" spans="1:16" ht="12.75">
      <c r="A25" s="52"/>
      <c r="B25" s="4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25"/>
      <c r="N25" s="51"/>
      <c r="O25" s="51"/>
      <c r="P25" s="51"/>
    </row>
    <row r="26" spans="1:16" ht="12.75">
      <c r="A26" s="52" t="s">
        <v>413</v>
      </c>
      <c r="B26" s="40" t="s">
        <v>1084</v>
      </c>
      <c r="C26" s="50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f>SUM(C26:K26)</f>
        <v>0</v>
      </c>
      <c r="M26" s="51"/>
      <c r="N26" s="51"/>
      <c r="O26" s="51">
        <v>0</v>
      </c>
      <c r="P26" s="51">
        <f>M26</f>
        <v>0</v>
      </c>
    </row>
    <row r="27" spans="1:16" ht="12.75">
      <c r="A27" s="52"/>
      <c r="B27" s="40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9"/>
      <c r="P27" s="59"/>
    </row>
    <row r="28" spans="1:18" ht="12.75">
      <c r="A28" s="52" t="s">
        <v>414</v>
      </c>
      <c r="B28" s="40" t="s">
        <v>416</v>
      </c>
      <c r="C28" s="50">
        <f aca="true" t="shared" si="0" ref="C28:K28">C19-C22-C24-C26</f>
        <v>1390</v>
      </c>
      <c r="D28" s="51">
        <f t="shared" si="0"/>
        <v>1923</v>
      </c>
      <c r="E28" s="51">
        <f t="shared" si="0"/>
        <v>1889</v>
      </c>
      <c r="F28" s="51">
        <f t="shared" si="0"/>
        <v>17</v>
      </c>
      <c r="G28" s="51">
        <f t="shared" si="0"/>
        <v>715</v>
      </c>
      <c r="H28" s="51">
        <f t="shared" si="0"/>
        <v>3795</v>
      </c>
      <c r="I28" s="51">
        <f t="shared" si="0"/>
        <v>-2</v>
      </c>
      <c r="J28" s="51">
        <f t="shared" si="0"/>
        <v>-42</v>
      </c>
      <c r="K28" s="51">
        <f t="shared" si="0"/>
        <v>73</v>
      </c>
      <c r="L28" s="51">
        <f>SUM(C28:K28)</f>
        <v>9758</v>
      </c>
      <c r="M28" s="51"/>
      <c r="N28" s="51"/>
      <c r="O28" s="51">
        <f>O19-O22-O24-O26</f>
        <v>8011</v>
      </c>
      <c r="P28" s="51">
        <f>P19-P22-P24-P26</f>
        <v>6466</v>
      </c>
      <c r="R28">
        <f>R32+R30</f>
        <v>7195</v>
      </c>
    </row>
    <row r="29" spans="1:16" ht="12.75">
      <c r="A29" s="52"/>
      <c r="B29" s="40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8" ht="12.75">
      <c r="A30" s="52" t="s">
        <v>0</v>
      </c>
      <c r="B30" s="40" t="s">
        <v>969</v>
      </c>
      <c r="C30" s="50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f>SUM(C30:K30)</f>
        <v>0</v>
      </c>
      <c r="M30" s="333">
        <v>84</v>
      </c>
      <c r="N30" s="51"/>
      <c r="O30" s="51">
        <f>M30</f>
        <v>84</v>
      </c>
      <c r="P30" s="51">
        <v>124</v>
      </c>
      <c r="R30">
        <v>84</v>
      </c>
    </row>
    <row r="31" spans="2:16" ht="12.75">
      <c r="B31" s="40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9"/>
      <c r="P31" s="59"/>
    </row>
    <row r="32" spans="1:18" ht="12.75">
      <c r="A32" s="52" t="s">
        <v>3</v>
      </c>
      <c r="B32" s="40" t="s">
        <v>418</v>
      </c>
      <c r="C32" s="50">
        <f>C28+C30</f>
        <v>1390</v>
      </c>
      <c r="D32" s="51">
        <f>D28+D30</f>
        <v>1923</v>
      </c>
      <c r="E32" s="51">
        <f aca="true" t="shared" si="1" ref="E32:K32">SUM(E28:E31)</f>
        <v>1889</v>
      </c>
      <c r="F32" s="51">
        <f t="shared" si="1"/>
        <v>17</v>
      </c>
      <c r="G32" s="51">
        <f t="shared" si="1"/>
        <v>715</v>
      </c>
      <c r="H32" s="51">
        <f t="shared" si="1"/>
        <v>3795</v>
      </c>
      <c r="I32" s="51">
        <f t="shared" si="1"/>
        <v>-2</v>
      </c>
      <c r="J32" s="51">
        <f t="shared" si="1"/>
        <v>-42</v>
      </c>
      <c r="K32" s="51">
        <f t="shared" si="1"/>
        <v>73</v>
      </c>
      <c r="L32" s="51">
        <f>SUM(C32:K32)</f>
        <v>9758</v>
      </c>
      <c r="M32" s="51"/>
      <c r="N32" s="51"/>
      <c r="O32" s="51">
        <f>O28-O30</f>
        <v>7927</v>
      </c>
      <c r="P32" s="51">
        <f>P28-P30</f>
        <v>6342</v>
      </c>
      <c r="R32">
        <f>R38+R35</f>
        <v>7111</v>
      </c>
    </row>
    <row r="33" spans="1:16" ht="3.75" customHeight="1">
      <c r="A33" s="52"/>
      <c r="B33" s="4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ht="3.75" customHeight="1">
      <c r="A34" s="52"/>
      <c r="B34" s="40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8" ht="12.75">
      <c r="A35" s="49" t="s">
        <v>161</v>
      </c>
      <c r="B35" s="40" t="s">
        <v>7</v>
      </c>
      <c r="C35" s="50">
        <v>389</v>
      </c>
      <c r="D35" s="51">
        <v>540</v>
      </c>
      <c r="E35" s="51">
        <v>666</v>
      </c>
      <c r="F35" s="51">
        <v>5</v>
      </c>
      <c r="G35" s="51">
        <v>0</v>
      </c>
      <c r="H35" s="51">
        <v>1359</v>
      </c>
      <c r="I35" s="51">
        <v>0</v>
      </c>
      <c r="J35" s="51">
        <v>0</v>
      </c>
      <c r="K35" s="51">
        <v>21</v>
      </c>
      <c r="L35" s="51">
        <f>SUM(C35:K35)</f>
        <v>2980</v>
      </c>
      <c r="M35" s="51"/>
      <c r="N35" s="51"/>
      <c r="O35" s="51">
        <f>L35+M35-N35</f>
        <v>2980</v>
      </c>
      <c r="P35" s="51">
        <v>1999</v>
      </c>
      <c r="R35">
        <v>2586</v>
      </c>
    </row>
    <row r="36" spans="1:16" ht="12.75">
      <c r="A36" s="52"/>
      <c r="B36" s="40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9"/>
      <c r="P36" s="59"/>
    </row>
    <row r="37" spans="1:16" ht="13.5" customHeight="1">
      <c r="A37" s="52" t="s">
        <v>652</v>
      </c>
      <c r="B37" s="40" t="s">
        <v>420</v>
      </c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8" ht="12.75">
      <c r="A38" s="49"/>
      <c r="B38" s="40" t="s">
        <v>421</v>
      </c>
      <c r="C38" s="50">
        <f>C32-C35</f>
        <v>1001</v>
      </c>
      <c r="D38" s="51">
        <f>D32-D35</f>
        <v>1383</v>
      </c>
      <c r="E38" s="51">
        <f>E32-E35</f>
        <v>1223</v>
      </c>
      <c r="F38" s="51">
        <f>F32-F35</f>
        <v>12</v>
      </c>
      <c r="G38" s="51">
        <f>SUM(G32:G37)</f>
        <v>715</v>
      </c>
      <c r="H38" s="51">
        <f>H32-H35</f>
        <v>2436</v>
      </c>
      <c r="I38" s="51">
        <f>I32-I35</f>
        <v>-2</v>
      </c>
      <c r="J38" s="51">
        <f>J32-J35</f>
        <v>-42</v>
      </c>
      <c r="K38" s="51">
        <f>K32-K35</f>
        <v>52</v>
      </c>
      <c r="L38" s="51">
        <f>SUM(C38:K38)</f>
        <v>6778</v>
      </c>
      <c r="M38" s="51"/>
      <c r="N38" s="51"/>
      <c r="O38" s="51">
        <f>O32-O35</f>
        <v>4947</v>
      </c>
      <c r="P38" s="51">
        <f>P32-P35</f>
        <v>4343</v>
      </c>
      <c r="R38">
        <f>R43-R40</f>
        <v>4525</v>
      </c>
    </row>
    <row r="39" spans="1:16" ht="5.25" customHeight="1">
      <c r="A39" s="49"/>
      <c r="B39" s="40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8" ht="12.75">
      <c r="A40" s="49"/>
      <c r="B40" s="40" t="s">
        <v>426</v>
      </c>
      <c r="C40" s="50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f>SUM(C40:K40)</f>
        <v>0</v>
      </c>
      <c r="M40" s="51">
        <v>1482</v>
      </c>
      <c r="N40" s="333">
        <v>-132</v>
      </c>
      <c r="O40" s="572">
        <f>L40-M40-M41-N40</f>
        <v>-1628</v>
      </c>
      <c r="P40" s="51">
        <v>-473</v>
      </c>
      <c r="R40">
        <v>-1231</v>
      </c>
    </row>
    <row r="41" spans="1:16" ht="12.75">
      <c r="A41" s="49"/>
      <c r="B41" s="4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>
        <v>278</v>
      </c>
      <c r="N41" s="51"/>
      <c r="O41" s="51"/>
      <c r="P41" s="51"/>
    </row>
    <row r="42" spans="1:16" ht="13.5" customHeight="1">
      <c r="A42" s="52" t="s">
        <v>27</v>
      </c>
      <c r="B42" s="40" t="s">
        <v>28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9"/>
      <c r="P42" s="59"/>
    </row>
    <row r="43" spans="1:18" ht="12.75">
      <c r="A43" s="49"/>
      <c r="B43" s="40" t="s">
        <v>432</v>
      </c>
      <c r="C43" s="50">
        <f>C38-C40</f>
        <v>1001</v>
      </c>
      <c r="D43" s="51">
        <f>D38-D40</f>
        <v>1383</v>
      </c>
      <c r="E43" s="51">
        <f>E38-E40</f>
        <v>1223</v>
      </c>
      <c r="F43" s="51">
        <f>SUM(F38:F42)</f>
        <v>12</v>
      </c>
      <c r="G43" s="51">
        <f>G38-G40</f>
        <v>715</v>
      </c>
      <c r="H43" s="51">
        <f>H38-H40</f>
        <v>2436</v>
      </c>
      <c r="I43" s="51">
        <f>I38-I40</f>
        <v>-2</v>
      </c>
      <c r="J43" s="51">
        <f>J38-J40</f>
        <v>-42</v>
      </c>
      <c r="K43" s="51">
        <f>K38-K40</f>
        <v>52</v>
      </c>
      <c r="L43" s="51">
        <f>SUM(C43:K43)</f>
        <v>6778</v>
      </c>
      <c r="M43" s="51"/>
      <c r="N43" s="51"/>
      <c r="O43" s="51">
        <f>O38+O40</f>
        <v>3319</v>
      </c>
      <c r="P43" s="51">
        <f>P38+P40</f>
        <v>3870</v>
      </c>
      <c r="R43">
        <f>R47-R45</f>
        <v>3294</v>
      </c>
    </row>
    <row r="44" spans="1:16" ht="6" customHeight="1">
      <c r="A44" s="49"/>
      <c r="B44" s="4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8" ht="12.75">
      <c r="A45" s="52" t="s">
        <v>30</v>
      </c>
      <c r="B45" s="40" t="s">
        <v>422</v>
      </c>
      <c r="C45" s="50">
        <v>7680</v>
      </c>
      <c r="D45" s="51">
        <v>17559</v>
      </c>
      <c r="E45" s="51">
        <v>18067</v>
      </c>
      <c r="F45" s="51">
        <v>5</v>
      </c>
      <c r="G45" s="51">
        <v>-25821</v>
      </c>
      <c r="H45" s="51">
        <v>43983</v>
      </c>
      <c r="I45" s="51">
        <v>-49</v>
      </c>
      <c r="J45" s="51">
        <v>-357</v>
      </c>
      <c r="K45" s="51">
        <v>874</v>
      </c>
      <c r="L45" s="51">
        <f>SUM(C45:K45)</f>
        <v>61941</v>
      </c>
      <c r="M45" s="51">
        <f>10472+8659+19662+3610+7+20+1394+402+238+972</f>
        <v>45436</v>
      </c>
      <c r="N45" s="51">
        <f>14452+23900+43+129+20+1004+334+1</f>
        <v>39883</v>
      </c>
      <c r="O45" s="51">
        <f>L45+N45-M45</f>
        <v>56388</v>
      </c>
      <c r="P45" s="51">
        <v>40428</v>
      </c>
      <c r="R45">
        <v>56388</v>
      </c>
    </row>
    <row r="46" spans="1:16" ht="5.25" customHeight="1">
      <c r="A46" s="49"/>
      <c r="B46" s="4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9"/>
      <c r="P46" s="59"/>
    </row>
    <row r="47" spans="1:18" ht="12.75">
      <c r="A47" s="13" t="s">
        <v>35</v>
      </c>
      <c r="B47" s="40" t="s">
        <v>257</v>
      </c>
      <c r="C47" s="50">
        <f>C45+C43</f>
        <v>8681</v>
      </c>
      <c r="D47" s="51">
        <f>D45+D43-D46</f>
        <v>18942</v>
      </c>
      <c r="E47" s="51">
        <f>E45+E43-E46</f>
        <v>19290</v>
      </c>
      <c r="F47" s="51">
        <f>F43+F45</f>
        <v>17</v>
      </c>
      <c r="G47" s="51">
        <f>G43+G45</f>
        <v>-25106</v>
      </c>
      <c r="H47" s="51">
        <f>H45+H43</f>
        <v>46419</v>
      </c>
      <c r="I47" s="51">
        <f>I45+I43</f>
        <v>-51</v>
      </c>
      <c r="J47" s="51">
        <f>J45+J43</f>
        <v>-399</v>
      </c>
      <c r="K47" s="51">
        <f>K45+K43</f>
        <v>926</v>
      </c>
      <c r="L47" s="51">
        <f>L45+L43-L46</f>
        <v>68719</v>
      </c>
      <c r="M47" s="51"/>
      <c r="N47" s="51"/>
      <c r="O47" s="51">
        <f>O43+O45</f>
        <v>59707</v>
      </c>
      <c r="P47" s="51">
        <f>P43+P45-P46</f>
        <v>44298</v>
      </c>
      <c r="R47">
        <v>59682</v>
      </c>
    </row>
    <row r="48" spans="1:16" ht="12.75">
      <c r="A48" s="52"/>
      <c r="B48" s="40" t="s">
        <v>950</v>
      </c>
      <c r="C48" s="50">
        <v>0</v>
      </c>
      <c r="D48" s="50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f>SUM(C48:K48)</f>
        <v>0</v>
      </c>
      <c r="M48" s="51"/>
      <c r="N48" s="51"/>
      <c r="O48" s="51">
        <f>L48</f>
        <v>0</v>
      </c>
      <c r="P48" s="51">
        <v>24</v>
      </c>
    </row>
    <row r="49" spans="1:16" ht="12.75">
      <c r="A49" s="49"/>
      <c r="B49" s="40" t="s">
        <v>323</v>
      </c>
      <c r="C49" s="50">
        <v>0</v>
      </c>
      <c r="D49" s="51">
        <v>0</v>
      </c>
      <c r="E49" s="51">
        <v>-500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f>SUM(C49:K49)</f>
        <v>-500</v>
      </c>
      <c r="M49" s="524"/>
      <c r="N49" s="210">
        <v>-500</v>
      </c>
      <c r="O49" s="51">
        <f>L49-N49</f>
        <v>0</v>
      </c>
      <c r="P49" s="51">
        <v>-2156</v>
      </c>
    </row>
    <row r="50" spans="1:16" ht="5.25" customHeight="1" thickBot="1">
      <c r="A50" s="49"/>
      <c r="B50" s="40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O50" s="54"/>
      <c r="P50" s="54"/>
    </row>
    <row r="51" spans="1:18" ht="13.5" thickBot="1">
      <c r="A51" s="60"/>
      <c r="B51" s="36" t="s">
        <v>770</v>
      </c>
      <c r="C51" s="58">
        <f aca="true" t="shared" si="2" ref="C51:K51">C47-C49</f>
        <v>8681</v>
      </c>
      <c r="D51" s="58">
        <f>D47+D48-D49</f>
        <v>18942</v>
      </c>
      <c r="E51" s="58">
        <f>E47+E48+E49</f>
        <v>18790</v>
      </c>
      <c r="F51" s="59">
        <f t="shared" si="2"/>
        <v>17</v>
      </c>
      <c r="G51" s="59">
        <f t="shared" si="2"/>
        <v>-25106</v>
      </c>
      <c r="H51" s="59">
        <f>H47+H49</f>
        <v>46419</v>
      </c>
      <c r="I51" s="59">
        <f t="shared" si="2"/>
        <v>-51</v>
      </c>
      <c r="J51" s="59">
        <f t="shared" si="2"/>
        <v>-399</v>
      </c>
      <c r="K51" s="59">
        <f t="shared" si="2"/>
        <v>926</v>
      </c>
      <c r="L51" s="59">
        <f>L47+L48+L49</f>
        <v>68219</v>
      </c>
      <c r="M51" s="59"/>
      <c r="N51" s="140"/>
      <c r="O51" s="164">
        <f>O47+O48+O49</f>
        <v>59707</v>
      </c>
      <c r="P51" s="164">
        <f>SUM(P47:P49)</f>
        <v>42166</v>
      </c>
      <c r="R51">
        <f>60757-1075</f>
        <v>59682</v>
      </c>
    </row>
    <row r="52" ht="12.75">
      <c r="B52" s="1" t="s">
        <v>640</v>
      </c>
    </row>
    <row r="53" spans="2:15" ht="12.75">
      <c r="B53" s="1" t="s">
        <v>641</v>
      </c>
      <c r="C53" s="1"/>
      <c r="D53" s="1"/>
      <c r="E53" s="1"/>
      <c r="F53" s="1"/>
      <c r="G53" s="1"/>
      <c r="H53" s="1"/>
      <c r="I53" s="1"/>
      <c r="O53" s="476"/>
    </row>
    <row r="54" spans="2:15" ht="12.75">
      <c r="B54" s="1" t="s">
        <v>9</v>
      </c>
      <c r="C54" s="1" t="s">
        <v>11</v>
      </c>
      <c r="D54" s="1"/>
      <c r="F54" s="1"/>
      <c r="G54" s="1" t="s">
        <v>319</v>
      </c>
      <c r="I54" s="1"/>
      <c r="O54" s="476"/>
    </row>
    <row r="55" spans="2:9" ht="12.75">
      <c r="B55" s="1" t="s">
        <v>315</v>
      </c>
      <c r="C55" s="1" t="s">
        <v>317</v>
      </c>
      <c r="D55" s="1"/>
      <c r="F55" s="1"/>
      <c r="G55" s="1" t="s">
        <v>338</v>
      </c>
      <c r="I55" s="1"/>
    </row>
    <row r="56" spans="2:9" ht="12.75">
      <c r="B56" s="1" t="s">
        <v>316</v>
      </c>
      <c r="C56" s="1" t="s">
        <v>318</v>
      </c>
      <c r="D56" s="1"/>
      <c r="F56" s="1"/>
      <c r="G56" s="1" t="s">
        <v>339</v>
      </c>
      <c r="I56" s="1"/>
    </row>
    <row r="57" spans="2:9" ht="12.75">
      <c r="B57" s="1" t="s">
        <v>644</v>
      </c>
      <c r="D57" s="1"/>
      <c r="E57" s="1"/>
      <c r="F57" s="1"/>
      <c r="G57" s="1"/>
      <c r="H57" s="1"/>
      <c r="I57" s="1"/>
    </row>
    <row r="58" spans="2:9" ht="12.75">
      <c r="B58" s="1" t="s">
        <v>321</v>
      </c>
      <c r="D58" s="1"/>
      <c r="E58" s="1"/>
      <c r="F58" s="1"/>
      <c r="G58" s="1"/>
      <c r="H58" s="1"/>
      <c r="I58" s="1"/>
    </row>
    <row r="59" ht="12.75">
      <c r="B59" s="1" t="s">
        <v>320</v>
      </c>
    </row>
    <row r="60" ht="12.75">
      <c r="B60" s="1" t="s">
        <v>322</v>
      </c>
    </row>
  </sheetData>
  <mergeCells count="1">
    <mergeCell ref="M6:N6"/>
  </mergeCells>
  <printOptions/>
  <pageMargins left="0.42" right="0.27" top="0.36" bottom="0.25" header="0.5" footer="0.16"/>
  <pageSetup horizontalDpi="360" verticalDpi="36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workbookViewId="0" topLeftCell="A1">
      <pane xSplit="3" topLeftCell="D1" activePane="topRight" state="frozen"/>
      <selection pane="topLeft" activeCell="A6" sqref="A6"/>
      <selection pane="topRight" activeCell="I9" sqref="I9"/>
    </sheetView>
  </sheetViews>
  <sheetFormatPr defaultColWidth="9.140625" defaultRowHeight="12.75"/>
  <cols>
    <col min="1" max="1" width="3.421875" style="414" customWidth="1"/>
    <col min="2" max="2" width="3.140625" style="414" customWidth="1"/>
    <col min="3" max="3" width="23.28125" style="414" customWidth="1"/>
    <col min="4" max="4" width="10.8515625" style="414" customWidth="1"/>
    <col min="5" max="5" width="9.00390625" style="414" customWidth="1"/>
    <col min="6" max="6" width="9.140625" style="414" customWidth="1"/>
    <col min="7" max="7" width="9.57421875" style="414" customWidth="1"/>
    <col min="8" max="8" width="8.7109375" style="414" customWidth="1"/>
    <col min="9" max="9" width="9.57421875" style="414" customWidth="1"/>
    <col min="10" max="10" width="8.7109375" style="414" customWidth="1"/>
    <col min="11" max="11" width="9.421875" style="414" customWidth="1"/>
    <col min="12" max="12" width="9.57421875" style="414" customWidth="1"/>
    <col min="13" max="13" width="9.00390625" style="414" customWidth="1"/>
    <col min="14" max="14" width="4.57421875" style="415" customWidth="1"/>
    <col min="15" max="15" width="8.7109375" style="414" customWidth="1"/>
    <col min="16" max="16" width="4.7109375" style="415" customWidth="1"/>
    <col min="17" max="17" width="9.140625" style="414" customWidth="1"/>
    <col min="18" max="19" width="9.7109375" style="414" customWidth="1"/>
    <col min="20" max="26" width="13.7109375" style="414" customWidth="1"/>
    <col min="27" max="16384" width="9.140625" style="414" customWidth="1"/>
  </cols>
  <sheetData>
    <row r="1" spans="1:18" ht="11.25">
      <c r="A1" s="413" t="s">
        <v>95</v>
      </c>
      <c r="B1" s="413"/>
      <c r="R1" s="416"/>
    </row>
    <row r="2" spans="1:2" ht="11.25">
      <c r="A2" s="413" t="s">
        <v>597</v>
      </c>
      <c r="B2" s="413"/>
    </row>
    <row r="3" spans="1:2" ht="11.25">
      <c r="A3" s="413" t="s">
        <v>408</v>
      </c>
      <c r="B3" s="413"/>
    </row>
    <row r="4" ht="7.5" customHeight="1"/>
    <row r="5" spans="1:19" s="423" customFormat="1" ht="11.25">
      <c r="A5" s="417"/>
      <c r="B5" s="418"/>
      <c r="C5" s="419"/>
      <c r="D5" s="420" t="s">
        <v>96</v>
      </c>
      <c r="E5" s="420" t="s">
        <v>97</v>
      </c>
      <c r="F5" s="420" t="s">
        <v>98</v>
      </c>
      <c r="G5" s="420" t="s">
        <v>524</v>
      </c>
      <c r="H5" s="420" t="s">
        <v>100</v>
      </c>
      <c r="I5" s="420" t="s">
        <v>101</v>
      </c>
      <c r="J5" s="420" t="s">
        <v>102</v>
      </c>
      <c r="K5" s="420" t="s">
        <v>103</v>
      </c>
      <c r="L5" s="420" t="s">
        <v>104</v>
      </c>
      <c r="M5" s="420" t="s">
        <v>105</v>
      </c>
      <c r="N5" s="603" t="s">
        <v>591</v>
      </c>
      <c r="O5" s="603"/>
      <c r="P5" s="603"/>
      <c r="Q5" s="603"/>
      <c r="R5" s="422">
        <v>2002</v>
      </c>
      <c r="S5" s="422">
        <v>2001</v>
      </c>
    </row>
    <row r="6" spans="1:19" s="423" customFormat="1" ht="11.25">
      <c r="A6" s="424"/>
      <c r="B6" s="425"/>
      <c r="C6" s="426"/>
      <c r="D6" s="427" t="s">
        <v>107</v>
      </c>
      <c r="E6" s="427"/>
      <c r="F6" s="427" t="s">
        <v>108</v>
      </c>
      <c r="G6" s="424"/>
      <c r="H6" s="427" t="s">
        <v>110</v>
      </c>
      <c r="I6" s="424"/>
      <c r="J6" s="424"/>
      <c r="K6" s="427" t="s">
        <v>111</v>
      </c>
      <c r="L6" s="428"/>
      <c r="M6" s="427"/>
      <c r="N6" s="427"/>
      <c r="O6" s="427" t="s">
        <v>113</v>
      </c>
      <c r="P6" s="427"/>
      <c r="Q6" s="427" t="s">
        <v>114</v>
      </c>
      <c r="R6" s="427" t="s">
        <v>476</v>
      </c>
      <c r="S6" s="427" t="s">
        <v>476</v>
      </c>
    </row>
    <row r="7" spans="1:19" s="433" customFormat="1" ht="11.25">
      <c r="A7" s="429"/>
      <c r="B7" s="429" t="s">
        <v>598</v>
      </c>
      <c r="C7" s="429"/>
      <c r="D7" s="430"/>
      <c r="E7" s="431">
        <v>1</v>
      </c>
      <c r="F7" s="431">
        <v>1</v>
      </c>
      <c r="G7" s="431">
        <v>1</v>
      </c>
      <c r="H7" s="431">
        <f>1-0.3884</f>
        <v>0.6115999999999999</v>
      </c>
      <c r="I7" s="431" t="s">
        <v>592</v>
      </c>
      <c r="J7" s="431">
        <v>1</v>
      </c>
      <c r="K7" s="431">
        <v>0.51</v>
      </c>
      <c r="L7" s="431">
        <v>1</v>
      </c>
      <c r="M7" s="431"/>
      <c r="N7" s="430"/>
      <c r="O7" s="431"/>
      <c r="P7" s="430"/>
      <c r="Q7" s="431"/>
      <c r="R7" s="432"/>
      <c r="S7" s="429"/>
    </row>
    <row r="8" spans="1:19" ht="15" customHeight="1">
      <c r="A8" s="434"/>
      <c r="B8" s="435"/>
      <c r="C8" s="436"/>
      <c r="D8" s="421" t="s">
        <v>59</v>
      </c>
      <c r="E8" s="421" t="s">
        <v>59</v>
      </c>
      <c r="F8" s="421" t="s">
        <v>59</v>
      </c>
      <c r="G8" s="421" t="s">
        <v>59</v>
      </c>
      <c r="H8" s="421" t="s">
        <v>59</v>
      </c>
      <c r="I8" s="421" t="s">
        <v>59</v>
      </c>
      <c r="J8" s="421" t="s">
        <v>59</v>
      </c>
      <c r="K8" s="421" t="s">
        <v>59</v>
      </c>
      <c r="L8" s="421" t="s">
        <v>59</v>
      </c>
      <c r="M8" s="421" t="s">
        <v>59</v>
      </c>
      <c r="N8" s="421"/>
      <c r="O8" s="421" t="s">
        <v>59</v>
      </c>
      <c r="P8" s="421"/>
      <c r="Q8" s="421" t="s">
        <v>59</v>
      </c>
      <c r="R8" s="421" t="s">
        <v>59</v>
      </c>
      <c r="S8" s="421" t="s">
        <v>59</v>
      </c>
    </row>
    <row r="9" spans="1:19" ht="12" thickBot="1">
      <c r="A9" s="437" t="s">
        <v>409</v>
      </c>
      <c r="B9" s="438" t="s">
        <v>752</v>
      </c>
      <c r="C9" s="439"/>
      <c r="D9" s="440">
        <v>506</v>
      </c>
      <c r="E9" s="440">
        <v>1498</v>
      </c>
      <c r="F9" s="440">
        <v>17204</v>
      </c>
      <c r="G9" s="440">
        <v>0</v>
      </c>
      <c r="H9" s="440">
        <v>3194</v>
      </c>
      <c r="I9" s="440">
        <v>5979</v>
      </c>
      <c r="J9" s="440">
        <v>0</v>
      </c>
      <c r="K9" s="440">
        <v>0</v>
      </c>
      <c r="L9" s="440">
        <v>0</v>
      </c>
      <c r="M9" s="440">
        <f>SUM(D9:L9)</f>
        <v>28381</v>
      </c>
      <c r="N9" s="441"/>
      <c r="O9" s="442"/>
      <c r="P9" s="441"/>
      <c r="Q9" s="442"/>
      <c r="R9" s="443">
        <f>M9-O9-Q9-O10-Q10</f>
        <v>28381</v>
      </c>
      <c r="S9" s="444">
        <v>39678</v>
      </c>
    </row>
    <row r="10" spans="1:19" ht="12" thickTop="1">
      <c r="A10" s="445"/>
      <c r="B10" s="446"/>
      <c r="C10" s="447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9"/>
      <c r="O10" s="450"/>
      <c r="P10" s="449"/>
      <c r="Q10" s="450"/>
      <c r="R10" s="450"/>
      <c r="S10" s="445"/>
    </row>
    <row r="11" spans="1:19" ht="12" thickBot="1">
      <c r="A11" s="451" t="s">
        <v>402</v>
      </c>
      <c r="B11" s="446" t="s">
        <v>433</v>
      </c>
      <c r="C11" s="447"/>
      <c r="D11" s="448">
        <v>0</v>
      </c>
      <c r="E11" s="448">
        <v>0</v>
      </c>
      <c r="F11" s="448">
        <v>0</v>
      </c>
      <c r="G11" s="448">
        <v>0</v>
      </c>
      <c r="H11" s="448">
        <v>0</v>
      </c>
      <c r="I11" s="448">
        <v>0</v>
      </c>
      <c r="J11" s="448">
        <v>0</v>
      </c>
      <c r="K11" s="448">
        <v>0</v>
      </c>
      <c r="L11" s="448">
        <v>0</v>
      </c>
      <c r="M11" s="448">
        <f>SUM(D11:L11)</f>
        <v>0</v>
      </c>
      <c r="N11" s="449"/>
      <c r="O11" s="450"/>
      <c r="P11" s="449"/>
      <c r="Q11" s="450"/>
      <c r="R11" s="452">
        <f>M11-O11</f>
        <v>0</v>
      </c>
      <c r="S11" s="453">
        <v>0</v>
      </c>
    </row>
    <row r="12" spans="1:19" ht="12" thickTop="1">
      <c r="A12" s="445"/>
      <c r="B12" s="446"/>
      <c r="C12" s="447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9"/>
      <c r="O12" s="445">
        <v>62</v>
      </c>
      <c r="P12" s="445"/>
      <c r="R12" s="450"/>
      <c r="S12" s="445"/>
    </row>
    <row r="13" spans="1:19" ht="12" thickBot="1">
      <c r="A13" s="451" t="s">
        <v>599</v>
      </c>
      <c r="B13" s="446" t="s">
        <v>600</v>
      </c>
      <c r="C13" s="447"/>
      <c r="D13" s="454">
        <v>241</v>
      </c>
      <c r="E13" s="454">
        <v>169</v>
      </c>
      <c r="F13" s="454">
        <v>44</v>
      </c>
      <c r="G13" s="454">
        <v>18</v>
      </c>
      <c r="H13" s="454">
        <v>4</v>
      </c>
      <c r="I13" s="454">
        <v>33</v>
      </c>
      <c r="J13" s="454">
        <v>0</v>
      </c>
      <c r="K13" s="454">
        <v>0</v>
      </c>
      <c r="L13" s="454">
        <v>0</v>
      </c>
      <c r="M13" s="448">
        <f>SUM(D13:L13)</f>
        <v>509</v>
      </c>
      <c r="N13" s="449"/>
      <c r="O13" s="450">
        <v>3</v>
      </c>
      <c r="P13" s="449"/>
      <c r="R13" s="453">
        <f>M13-O13-O12</f>
        <v>444</v>
      </c>
      <c r="S13" s="453">
        <v>679</v>
      </c>
    </row>
    <row r="14" spans="1:19" ht="12" thickTop="1">
      <c r="A14" s="445"/>
      <c r="B14" s="446"/>
      <c r="C14" s="447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9"/>
      <c r="O14" s="450"/>
      <c r="P14" s="449"/>
      <c r="R14" s="450"/>
      <c r="S14" s="445"/>
    </row>
    <row r="15" spans="1:21" ht="11.25">
      <c r="A15" s="451" t="s">
        <v>412</v>
      </c>
      <c r="B15" s="446" t="s">
        <v>601</v>
      </c>
      <c r="C15" s="447"/>
      <c r="D15" s="448">
        <v>548</v>
      </c>
      <c r="E15" s="448">
        <v>510</v>
      </c>
      <c r="F15" s="448">
        <v>-1649</v>
      </c>
      <c r="G15" s="448">
        <v>10</v>
      </c>
      <c r="H15" s="448">
        <v>293</v>
      </c>
      <c r="I15" s="448">
        <v>3613</v>
      </c>
      <c r="J15" s="448">
        <v>-2</v>
      </c>
      <c r="K15" s="448">
        <v>-42</v>
      </c>
      <c r="L15" s="448">
        <v>-1</v>
      </c>
      <c r="M15" s="448">
        <f>SUM(D15:L15)</f>
        <v>3280</v>
      </c>
      <c r="N15" s="449"/>
      <c r="O15" s="450">
        <v>3</v>
      </c>
      <c r="P15" s="449"/>
      <c r="R15" s="450">
        <f>M15-O15-O14-O16-Q16</f>
        <v>3218</v>
      </c>
      <c r="S15" s="445">
        <v>5204</v>
      </c>
      <c r="U15" s="455"/>
    </row>
    <row r="16" spans="1:21" ht="11.25">
      <c r="A16" s="451"/>
      <c r="B16" s="446" t="s">
        <v>602</v>
      </c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9"/>
      <c r="O16" s="450">
        <v>62</v>
      </c>
      <c r="P16" s="449"/>
      <c r="Q16" s="450">
        <v>-3</v>
      </c>
      <c r="R16" s="450"/>
      <c r="S16" s="445"/>
      <c r="U16" s="455"/>
    </row>
    <row r="17" spans="1:21" ht="11.25">
      <c r="A17" s="451"/>
      <c r="B17" s="446"/>
      <c r="C17" s="447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9"/>
      <c r="O17" s="450"/>
      <c r="P17" s="449"/>
      <c r="Q17" s="450"/>
      <c r="R17" s="450"/>
      <c r="S17" s="445"/>
      <c r="U17" s="455"/>
    </row>
    <row r="18" spans="1:21" ht="11.25">
      <c r="A18" s="451" t="s">
        <v>402</v>
      </c>
      <c r="B18" s="446" t="s">
        <v>1080</v>
      </c>
      <c r="C18" s="447"/>
      <c r="D18" s="448">
        <v>210</v>
      </c>
      <c r="E18" s="448">
        <v>223</v>
      </c>
      <c r="F18" s="448">
        <v>55</v>
      </c>
      <c r="G18" s="448">
        <v>0</v>
      </c>
      <c r="H18" s="448">
        <v>149</v>
      </c>
      <c r="I18" s="448">
        <v>7</v>
      </c>
      <c r="J18" s="448">
        <v>0</v>
      </c>
      <c r="K18" s="448">
        <v>0</v>
      </c>
      <c r="L18" s="448">
        <v>0</v>
      </c>
      <c r="M18" s="448">
        <f>SUM(D18:L18)</f>
        <v>644</v>
      </c>
      <c r="N18" s="449"/>
      <c r="O18" s="450"/>
      <c r="P18" s="449"/>
      <c r="Q18" s="450">
        <v>62</v>
      </c>
      <c r="R18" s="450">
        <f>M18-Q18</f>
        <v>582</v>
      </c>
      <c r="S18" s="445">
        <v>1004</v>
      </c>
      <c r="U18" s="455"/>
    </row>
    <row r="19" spans="1:21" ht="11.25">
      <c r="A19" s="451"/>
      <c r="B19" s="446"/>
      <c r="C19" s="447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9"/>
      <c r="O19" s="450"/>
      <c r="P19" s="449"/>
      <c r="Q19" s="450"/>
      <c r="R19" s="450"/>
      <c r="S19" s="445"/>
      <c r="U19" s="455"/>
    </row>
    <row r="20" spans="1:21" ht="11.25">
      <c r="A20" s="451" t="s">
        <v>599</v>
      </c>
      <c r="B20" s="446" t="s">
        <v>836</v>
      </c>
      <c r="C20" s="447"/>
      <c r="D20" s="448">
        <v>49</v>
      </c>
      <c r="E20" s="448">
        <v>20</v>
      </c>
      <c r="F20" s="448">
        <v>515</v>
      </c>
      <c r="G20" s="448">
        <v>0</v>
      </c>
      <c r="H20" s="448">
        <v>386</v>
      </c>
      <c r="I20" s="448">
        <v>341</v>
      </c>
      <c r="J20" s="448">
        <v>0</v>
      </c>
      <c r="K20" s="448">
        <v>0</v>
      </c>
      <c r="L20" s="448">
        <v>0</v>
      </c>
      <c r="M20" s="448">
        <f>SUM(D20:L20)</f>
        <v>1311</v>
      </c>
      <c r="N20" s="449"/>
      <c r="O20" s="450">
        <v>541</v>
      </c>
      <c r="P20" s="449"/>
      <c r="Q20" s="450"/>
      <c r="R20" s="445">
        <f>M20+O20</f>
        <v>1852</v>
      </c>
      <c r="S20" s="445">
        <v>2304</v>
      </c>
      <c r="U20" s="455"/>
    </row>
    <row r="21" spans="1:19" ht="11.25">
      <c r="A21" s="451"/>
      <c r="B21" s="446"/>
      <c r="C21" s="447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45"/>
      <c r="O21" s="445" t="s">
        <v>603</v>
      </c>
      <c r="P21" s="449"/>
      <c r="Q21" s="450"/>
      <c r="R21" s="450"/>
      <c r="S21" s="445"/>
    </row>
    <row r="22" spans="1:19" ht="11.25">
      <c r="A22" s="451" t="s">
        <v>413</v>
      </c>
      <c r="B22" s="446" t="s">
        <v>1084</v>
      </c>
      <c r="C22" s="447"/>
      <c r="D22" s="448">
        <v>0</v>
      </c>
      <c r="E22" s="448">
        <v>0</v>
      </c>
      <c r="F22" s="448">
        <v>0</v>
      </c>
      <c r="G22" s="448">
        <v>0</v>
      </c>
      <c r="H22" s="448">
        <v>0</v>
      </c>
      <c r="I22" s="448">
        <v>0</v>
      </c>
      <c r="J22" s="448">
        <v>0</v>
      </c>
      <c r="K22" s="448">
        <v>0</v>
      </c>
      <c r="L22" s="448">
        <v>0</v>
      </c>
      <c r="M22" s="448">
        <f>SUM(D22:L22)</f>
        <v>0</v>
      </c>
      <c r="N22" s="449"/>
      <c r="O22" s="450"/>
      <c r="P22" s="449"/>
      <c r="Q22" s="450"/>
      <c r="R22" s="450">
        <f>M22-O22-Q22</f>
        <v>0</v>
      </c>
      <c r="S22" s="445">
        <v>0</v>
      </c>
    </row>
    <row r="23" spans="1:19" ht="11.25">
      <c r="A23" s="451"/>
      <c r="B23" s="446"/>
      <c r="C23" s="447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9"/>
      <c r="O23" s="450"/>
      <c r="P23" s="449"/>
      <c r="Q23" s="450"/>
      <c r="R23" s="456"/>
      <c r="S23" s="457"/>
    </row>
    <row r="24" spans="1:256" ht="11.25">
      <c r="A24" s="451" t="s">
        <v>414</v>
      </c>
      <c r="B24" s="446" t="s">
        <v>604</v>
      </c>
      <c r="C24" s="447"/>
      <c r="D24" s="448">
        <f>D15-D18-D20-D22</f>
        <v>289</v>
      </c>
      <c r="E24" s="448">
        <f aca="true" t="shared" si="0" ref="E24:M24">E15-E18-E20-E22</f>
        <v>267</v>
      </c>
      <c r="F24" s="448">
        <f t="shared" si="0"/>
        <v>-2219</v>
      </c>
      <c r="G24" s="448">
        <f t="shared" si="0"/>
        <v>10</v>
      </c>
      <c r="H24" s="448">
        <f t="shared" si="0"/>
        <v>-242</v>
      </c>
      <c r="I24" s="448">
        <f t="shared" si="0"/>
        <v>3265</v>
      </c>
      <c r="J24" s="448">
        <f t="shared" si="0"/>
        <v>-2</v>
      </c>
      <c r="K24" s="448">
        <f t="shared" si="0"/>
        <v>-42</v>
      </c>
      <c r="L24" s="448">
        <f t="shared" si="0"/>
        <v>-1</v>
      </c>
      <c r="M24" s="448">
        <f t="shared" si="0"/>
        <v>1325</v>
      </c>
      <c r="N24" s="449"/>
      <c r="O24" s="450"/>
      <c r="P24" s="449"/>
      <c r="Q24" s="450"/>
      <c r="R24" s="450">
        <f>R15-R18-R20-R22</f>
        <v>784</v>
      </c>
      <c r="S24" s="450">
        <f>S15-S18-S20-S22</f>
        <v>1896</v>
      </c>
      <c r="T24" s="414" t="s">
        <v>437</v>
      </c>
      <c r="IV24" s="450"/>
    </row>
    <row r="25" spans="1:19" ht="12" customHeight="1">
      <c r="A25" s="451"/>
      <c r="B25" s="446"/>
      <c r="C25" s="447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9"/>
      <c r="O25" s="450"/>
      <c r="P25" s="449"/>
      <c r="Q25" s="450"/>
      <c r="R25" s="450"/>
      <c r="S25" s="445"/>
    </row>
    <row r="26" spans="1:19" ht="11.25">
      <c r="A26" s="451"/>
      <c r="B26" s="446"/>
      <c r="C26" s="447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9"/>
      <c r="O26" s="450"/>
      <c r="P26" s="449"/>
      <c r="Q26" s="450"/>
      <c r="R26" s="450"/>
      <c r="S26" s="445"/>
    </row>
    <row r="27" spans="1:19" ht="11.25">
      <c r="A27" s="451" t="s">
        <v>0</v>
      </c>
      <c r="B27" s="446" t="s">
        <v>605</v>
      </c>
      <c r="C27" s="447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9"/>
      <c r="O27" s="450">
        <v>58</v>
      </c>
      <c r="P27" s="449"/>
      <c r="Q27" s="450"/>
      <c r="R27" s="450">
        <f>O27</f>
        <v>58</v>
      </c>
      <c r="S27" s="445">
        <v>66</v>
      </c>
    </row>
    <row r="28" spans="1:19" ht="11.25">
      <c r="A28" s="451"/>
      <c r="B28" s="446"/>
      <c r="C28" s="447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9"/>
      <c r="O28" s="450"/>
      <c r="P28" s="449"/>
      <c r="Q28" s="450"/>
      <c r="R28" s="456"/>
      <c r="S28" s="457"/>
    </row>
    <row r="29" spans="1:20" s="447" customFormat="1" ht="11.25">
      <c r="A29" s="451" t="s">
        <v>3</v>
      </c>
      <c r="B29" s="446" t="s">
        <v>606</v>
      </c>
      <c r="D29" s="448">
        <f>SUM(D24:D28)</f>
        <v>289</v>
      </c>
      <c r="E29" s="448">
        <f aca="true" t="shared" si="1" ref="E29:L29">SUM(E24:E28)</f>
        <v>267</v>
      </c>
      <c r="F29" s="448">
        <f>F24</f>
        <v>-2219</v>
      </c>
      <c r="G29" s="448">
        <f t="shared" si="1"/>
        <v>10</v>
      </c>
      <c r="H29" s="448">
        <f t="shared" si="1"/>
        <v>-242</v>
      </c>
      <c r="I29" s="448">
        <f t="shared" si="1"/>
        <v>3265</v>
      </c>
      <c r="J29" s="448">
        <f t="shared" si="1"/>
        <v>-2</v>
      </c>
      <c r="K29" s="448">
        <f t="shared" si="1"/>
        <v>-42</v>
      </c>
      <c r="L29" s="448">
        <f t="shared" si="1"/>
        <v>-1</v>
      </c>
      <c r="M29" s="448">
        <f>SUM(D29:L29)</f>
        <v>1325</v>
      </c>
      <c r="N29" s="449"/>
      <c r="O29" s="450"/>
      <c r="P29" s="449"/>
      <c r="Q29" s="450"/>
      <c r="R29" s="450">
        <f>SUM(R24-R27)</f>
        <v>726</v>
      </c>
      <c r="S29" s="450">
        <f>S24-S27</f>
        <v>1830</v>
      </c>
      <c r="T29" s="447" t="s">
        <v>437</v>
      </c>
    </row>
    <row r="30" spans="1:19" s="447" customFormat="1" ht="11.25">
      <c r="A30" s="451"/>
      <c r="B30" s="446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9"/>
      <c r="O30" s="450"/>
      <c r="P30" s="449"/>
      <c r="Q30" s="450"/>
      <c r="R30" s="450"/>
      <c r="S30" s="445"/>
    </row>
    <row r="31" spans="1:19" s="447" customFormat="1" ht="11.25">
      <c r="A31" s="451"/>
      <c r="B31" s="446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9"/>
      <c r="O31" s="450"/>
      <c r="P31" s="449"/>
      <c r="Q31" s="450"/>
      <c r="R31" s="450"/>
      <c r="S31" s="445"/>
    </row>
    <row r="32" spans="1:19" ht="11.25">
      <c r="A32" s="451"/>
      <c r="B32" s="446"/>
      <c r="C32" s="447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9"/>
      <c r="O32" s="450"/>
      <c r="P32" s="449"/>
      <c r="Q32" s="450"/>
      <c r="R32" s="450"/>
      <c r="S32" s="445"/>
    </row>
    <row r="33" spans="1:19" ht="11.25">
      <c r="A33" s="451" t="s">
        <v>6</v>
      </c>
      <c r="B33" s="446" t="s">
        <v>7</v>
      </c>
      <c r="C33" s="447"/>
      <c r="D33" s="448">
        <f>D29*28%</f>
        <v>80.92</v>
      </c>
      <c r="E33" s="448">
        <v>81</v>
      </c>
      <c r="F33" s="448">
        <v>-7</v>
      </c>
      <c r="G33" s="448">
        <v>3</v>
      </c>
      <c r="H33" s="448">
        <v>0</v>
      </c>
      <c r="I33" s="448">
        <v>914</v>
      </c>
      <c r="J33" s="448">
        <v>0</v>
      </c>
      <c r="K33" s="448">
        <v>0</v>
      </c>
      <c r="L33" s="448">
        <v>0</v>
      </c>
      <c r="M33" s="448">
        <f>SUM(D33:L33)</f>
        <v>1071.92</v>
      </c>
      <c r="N33" s="449"/>
      <c r="O33" s="450"/>
      <c r="P33" s="449"/>
      <c r="Q33" s="450"/>
      <c r="R33" s="450">
        <f>M33</f>
        <v>1071.92</v>
      </c>
      <c r="S33" s="445">
        <v>1074</v>
      </c>
    </row>
    <row r="34" spans="1:19" ht="11.25">
      <c r="A34" s="451"/>
      <c r="B34" s="446"/>
      <c r="C34" s="447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9"/>
      <c r="O34" s="450"/>
      <c r="P34" s="449"/>
      <c r="Q34" s="450"/>
      <c r="R34" s="456"/>
      <c r="S34" s="457"/>
    </row>
    <row r="35" spans="1:19" ht="11.25">
      <c r="A35" s="451" t="s">
        <v>652</v>
      </c>
      <c r="B35" s="458" t="s">
        <v>652</v>
      </c>
      <c r="C35" s="447" t="s">
        <v>613</v>
      </c>
      <c r="D35" s="448">
        <f>D29-D33</f>
        <v>208.07999999999998</v>
      </c>
      <c r="E35" s="448">
        <f>E29-E33</f>
        <v>186</v>
      </c>
      <c r="F35" s="448">
        <f>F29+F33</f>
        <v>-2226</v>
      </c>
      <c r="G35" s="448">
        <f aca="true" t="shared" si="2" ref="G35:L35">G29-G33</f>
        <v>7</v>
      </c>
      <c r="H35" s="448">
        <f t="shared" si="2"/>
        <v>-242</v>
      </c>
      <c r="I35" s="448">
        <f t="shared" si="2"/>
        <v>2351</v>
      </c>
      <c r="J35" s="448">
        <f t="shared" si="2"/>
        <v>-2</v>
      </c>
      <c r="K35" s="448">
        <f t="shared" si="2"/>
        <v>-42</v>
      </c>
      <c r="L35" s="448">
        <f t="shared" si="2"/>
        <v>-1</v>
      </c>
      <c r="M35" s="448">
        <f>SUM(D35:L35)</f>
        <v>239.07999999999993</v>
      </c>
      <c r="N35" s="449"/>
      <c r="O35" s="450"/>
      <c r="P35" s="449"/>
      <c r="Q35" s="450"/>
      <c r="R35" s="450">
        <f>R29-R33</f>
        <v>-345.9200000000001</v>
      </c>
      <c r="S35" s="450">
        <f>S29-S33</f>
        <v>756</v>
      </c>
    </row>
    <row r="36" spans="1:19" ht="11.25">
      <c r="A36" s="451"/>
      <c r="B36" s="458"/>
      <c r="C36" s="447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9"/>
      <c r="O36" s="450"/>
      <c r="P36" s="449"/>
      <c r="Q36" s="450"/>
      <c r="R36" s="450"/>
      <c r="S36" s="445"/>
    </row>
    <row r="37" spans="1:19" ht="11.25">
      <c r="A37" s="451"/>
      <c r="B37" s="458"/>
      <c r="C37" s="447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9"/>
      <c r="O37" s="450"/>
      <c r="P37" s="449"/>
      <c r="Q37" s="450"/>
      <c r="R37" s="450"/>
      <c r="S37" s="445"/>
    </row>
    <row r="38" spans="1:19" ht="11.25">
      <c r="A38" s="451"/>
      <c r="B38" s="458" t="s">
        <v>614</v>
      </c>
      <c r="C38" s="447" t="s">
        <v>615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v>0</v>
      </c>
      <c r="N38" s="449"/>
      <c r="O38" s="450">
        <v>1043</v>
      </c>
      <c r="P38" s="449"/>
      <c r="Q38" s="414">
        <f>-H35*38.84%</f>
        <v>93.9928</v>
      </c>
      <c r="R38" s="450">
        <f>M38-O38+Q38-O39</f>
        <v>-1214.0072</v>
      </c>
      <c r="S38" s="445">
        <v>-100</v>
      </c>
    </row>
    <row r="39" spans="1:19" ht="11.25">
      <c r="A39" s="451"/>
      <c r="B39" s="458"/>
      <c r="C39" s="447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9"/>
      <c r="O39" s="450">
        <v>265</v>
      </c>
      <c r="P39" s="449"/>
      <c r="Q39" s="450"/>
      <c r="R39" s="456"/>
      <c r="S39" s="457"/>
    </row>
    <row r="40" spans="1:19" ht="11.25">
      <c r="A40" s="451" t="s">
        <v>27</v>
      </c>
      <c r="B40" s="458"/>
      <c r="C40" s="447" t="s">
        <v>616</v>
      </c>
      <c r="D40" s="448">
        <f aca="true" t="shared" si="3" ref="D40:L40">SUM(D35:D39)</f>
        <v>208.07999999999998</v>
      </c>
      <c r="E40" s="448">
        <f t="shared" si="3"/>
        <v>186</v>
      </c>
      <c r="F40" s="448">
        <f t="shared" si="3"/>
        <v>-2226</v>
      </c>
      <c r="G40" s="448">
        <f t="shared" si="3"/>
        <v>7</v>
      </c>
      <c r="H40" s="448">
        <f t="shared" si="3"/>
        <v>-242</v>
      </c>
      <c r="I40" s="448">
        <f t="shared" si="3"/>
        <v>2351</v>
      </c>
      <c r="J40" s="448">
        <f t="shared" si="3"/>
        <v>-2</v>
      </c>
      <c r="K40" s="448">
        <f t="shared" si="3"/>
        <v>-42</v>
      </c>
      <c r="L40" s="448">
        <f t="shared" si="3"/>
        <v>-1</v>
      </c>
      <c r="M40" s="448">
        <f>SUM(D40:L40)</f>
        <v>239.07999999999993</v>
      </c>
      <c r="N40" s="449"/>
      <c r="O40" s="450"/>
      <c r="P40" s="449"/>
      <c r="Q40" s="450"/>
      <c r="R40" s="450">
        <f>R35+R38</f>
        <v>-1559.9272</v>
      </c>
      <c r="S40" s="450">
        <f>S35-S38</f>
        <v>856</v>
      </c>
    </row>
    <row r="41" spans="1:19" ht="11.25">
      <c r="A41" s="451"/>
      <c r="B41" s="458"/>
      <c r="C41" s="447" t="s">
        <v>617</v>
      </c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9"/>
      <c r="O41" s="450"/>
      <c r="P41" s="449"/>
      <c r="Q41" s="450"/>
      <c r="R41" s="450"/>
      <c r="S41" s="445"/>
    </row>
    <row r="42" spans="1:19" ht="11.25">
      <c r="A42" s="451"/>
      <c r="B42" s="458"/>
      <c r="C42" s="447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9"/>
      <c r="O42" s="450"/>
      <c r="P42" s="449"/>
      <c r="Q42" s="450"/>
      <c r="R42" s="450"/>
      <c r="S42" s="445"/>
    </row>
    <row r="43" spans="1:19" ht="6" customHeight="1">
      <c r="A43" s="451"/>
      <c r="B43" s="458"/>
      <c r="C43" s="447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9"/>
      <c r="O43" s="450"/>
      <c r="P43" s="449"/>
      <c r="Q43" s="450"/>
      <c r="R43" s="450"/>
      <c r="S43" s="445"/>
    </row>
    <row r="44" spans="1:19" ht="11.25">
      <c r="A44" s="451" t="s">
        <v>30</v>
      </c>
      <c r="B44" s="458"/>
      <c r="C44" s="447" t="s">
        <v>618</v>
      </c>
      <c r="D44" s="448">
        <v>7680</v>
      </c>
      <c r="E44" s="448">
        <v>17559</v>
      </c>
      <c r="F44" s="448">
        <v>18067</v>
      </c>
      <c r="G44" s="448">
        <v>5</v>
      </c>
      <c r="H44" s="448">
        <v>-25821</v>
      </c>
      <c r="I44" s="448">
        <v>43983</v>
      </c>
      <c r="J44" s="448">
        <v>-49</v>
      </c>
      <c r="K44" s="448">
        <v>-357</v>
      </c>
      <c r="L44" s="448">
        <v>874</v>
      </c>
      <c r="M44" s="448">
        <f>SUM(D44:L44)</f>
        <v>61941</v>
      </c>
      <c r="O44" s="449" t="s">
        <v>619</v>
      </c>
      <c r="P44" s="449"/>
      <c r="Q44" s="450"/>
      <c r="R44" s="450">
        <v>56388.488</v>
      </c>
      <c r="S44" s="445">
        <v>40428</v>
      </c>
    </row>
    <row r="45" spans="1:19" ht="11.25">
      <c r="A45" s="451"/>
      <c r="B45" s="458"/>
      <c r="C45" s="447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9"/>
      <c r="O45" s="445"/>
      <c r="P45" s="459"/>
      <c r="Q45" s="450"/>
      <c r="R45" s="450"/>
      <c r="S45" s="445"/>
    </row>
    <row r="46" spans="1:19" ht="11.25">
      <c r="A46" s="451" t="s">
        <v>35</v>
      </c>
      <c r="B46" s="458"/>
      <c r="C46" s="447" t="s">
        <v>620</v>
      </c>
      <c r="D46" s="448">
        <f>SUM(D40:D44)</f>
        <v>7888.08</v>
      </c>
      <c r="E46" s="448">
        <f>SUM(E40:E44)</f>
        <v>17745</v>
      </c>
      <c r="F46" s="448">
        <f>SUM(F40:F44)</f>
        <v>15841</v>
      </c>
      <c r="G46" s="448">
        <f aca="true" t="shared" si="4" ref="G46:L46">SUM(G40:G44)</f>
        <v>12</v>
      </c>
      <c r="H46" s="448">
        <f t="shared" si="4"/>
        <v>-26063</v>
      </c>
      <c r="I46" s="448">
        <f t="shared" si="4"/>
        <v>46334</v>
      </c>
      <c r="J46" s="448">
        <f t="shared" si="4"/>
        <v>-51</v>
      </c>
      <c r="K46" s="448">
        <f t="shared" si="4"/>
        <v>-399</v>
      </c>
      <c r="L46" s="448">
        <f t="shared" si="4"/>
        <v>873</v>
      </c>
      <c r="M46" s="448">
        <f>SUM(D46:L46)</f>
        <v>62180.08</v>
      </c>
      <c r="N46" s="449"/>
      <c r="O46" s="450"/>
      <c r="P46" s="449"/>
      <c r="Q46" s="450"/>
      <c r="R46" s="450">
        <f>SUM(R40:R45)</f>
        <v>54828.5608</v>
      </c>
      <c r="S46" s="450">
        <f>SUM(S40:S45)</f>
        <v>41284</v>
      </c>
    </row>
    <row r="47" spans="1:19" ht="11.25">
      <c r="A47" s="451"/>
      <c r="B47" s="458"/>
      <c r="C47" s="447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9"/>
      <c r="O47" s="450"/>
      <c r="P47" s="449"/>
      <c r="Q47" s="450"/>
      <c r="R47" s="450"/>
      <c r="S47" s="445"/>
    </row>
    <row r="48" spans="1:19" ht="11.25">
      <c r="A48" s="451"/>
      <c r="B48" s="458"/>
      <c r="C48" s="447" t="s">
        <v>621</v>
      </c>
      <c r="D48" s="448">
        <v>0</v>
      </c>
      <c r="E48" s="448">
        <v>0</v>
      </c>
      <c r="F48" s="448">
        <v>0</v>
      </c>
      <c r="G48" s="448">
        <v>0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448">
        <f>SUM(D48:L48)</f>
        <v>0</v>
      </c>
      <c r="N48" s="449"/>
      <c r="O48" s="460"/>
      <c r="P48" s="449"/>
      <c r="Q48" s="450"/>
      <c r="R48" s="450">
        <f>M48-O48-Q48</f>
        <v>0</v>
      </c>
      <c r="S48" s="445">
        <v>0</v>
      </c>
    </row>
    <row r="49" spans="1:19" ht="12" thickBot="1">
      <c r="A49" s="451"/>
      <c r="B49" s="458"/>
      <c r="C49" s="447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9"/>
      <c r="O49" s="460"/>
      <c r="P49" s="445"/>
      <c r="Q49" s="445"/>
      <c r="R49" s="450"/>
      <c r="S49" s="445"/>
    </row>
    <row r="50" spans="1:19" ht="12" thickBot="1">
      <c r="A50" s="461"/>
      <c r="B50" s="462"/>
      <c r="C50" s="463" t="s">
        <v>622</v>
      </c>
      <c r="D50" s="464">
        <f aca="true" t="shared" si="5" ref="D50:L50">SUM(D46:D48)</f>
        <v>7888.08</v>
      </c>
      <c r="E50" s="464">
        <f t="shared" si="5"/>
        <v>17745</v>
      </c>
      <c r="F50" s="464">
        <f t="shared" si="5"/>
        <v>15841</v>
      </c>
      <c r="G50" s="464">
        <f t="shared" si="5"/>
        <v>12</v>
      </c>
      <c r="H50" s="464">
        <f t="shared" si="5"/>
        <v>-26063</v>
      </c>
      <c r="I50" s="464">
        <f t="shared" si="5"/>
        <v>46334</v>
      </c>
      <c r="J50" s="464">
        <f t="shared" si="5"/>
        <v>-51</v>
      </c>
      <c r="K50" s="464">
        <f t="shared" si="5"/>
        <v>-399</v>
      </c>
      <c r="L50" s="464">
        <f t="shared" si="5"/>
        <v>873</v>
      </c>
      <c r="M50" s="464">
        <f>SUM(D50:L50)</f>
        <v>62180.08</v>
      </c>
      <c r="N50" s="465"/>
      <c r="O50" s="456"/>
      <c r="P50" s="465"/>
      <c r="Q50" s="466"/>
      <c r="R50" s="467">
        <f>SUM(R46:R49)</f>
        <v>54828.5608</v>
      </c>
      <c r="S50" s="467">
        <f>SUM(S46:S49)</f>
        <v>41284</v>
      </c>
    </row>
    <row r="51" ht="11.25">
      <c r="P51" s="468"/>
    </row>
    <row r="52" ht="11.25">
      <c r="A52" s="414" t="s">
        <v>640</v>
      </c>
    </row>
    <row r="53" spans="1:19" ht="11.25">
      <c r="A53" s="414" t="s">
        <v>641</v>
      </c>
      <c r="C53" s="469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70"/>
      <c r="O53" s="447"/>
      <c r="P53" s="470"/>
      <c r="Q53" s="447"/>
      <c r="R53" s="447"/>
      <c r="S53" s="447"/>
    </row>
    <row r="54" spans="3:19" ht="11.25">
      <c r="C54" s="469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70"/>
      <c r="O54" s="447"/>
      <c r="P54" s="470"/>
      <c r="Q54" s="447"/>
      <c r="R54" s="447"/>
      <c r="S54" s="447"/>
    </row>
    <row r="55" spans="1:19" ht="11.25">
      <c r="A55" s="414">
        <v>1</v>
      </c>
      <c r="B55" s="414" t="s">
        <v>623</v>
      </c>
      <c r="C55" s="469"/>
      <c r="D55" s="414" t="s">
        <v>624</v>
      </c>
      <c r="E55" s="414" t="s">
        <v>625</v>
      </c>
      <c r="F55" s="447"/>
      <c r="G55" s="447"/>
      <c r="H55" s="447"/>
      <c r="I55" s="447"/>
      <c r="J55" s="447"/>
      <c r="K55" s="447"/>
      <c r="L55" s="447"/>
      <c r="M55" s="447"/>
      <c r="N55" s="470"/>
      <c r="O55" s="447"/>
      <c r="P55" s="470"/>
      <c r="Q55" s="447"/>
      <c r="R55" s="447"/>
      <c r="S55" s="447"/>
    </row>
    <row r="56" spans="2:19" ht="11.25">
      <c r="B56" s="414" t="s">
        <v>626</v>
      </c>
      <c r="C56" s="447"/>
      <c r="E56" s="414" t="s">
        <v>627</v>
      </c>
      <c r="F56" s="447"/>
      <c r="G56" s="447"/>
      <c r="H56" s="447"/>
      <c r="I56" s="447"/>
      <c r="J56" s="447"/>
      <c r="K56" s="447"/>
      <c r="L56" s="447"/>
      <c r="M56" s="447"/>
      <c r="N56" s="470"/>
      <c r="O56" s="447"/>
      <c r="P56" s="470"/>
      <c r="Q56" s="447"/>
      <c r="R56" s="447"/>
      <c r="S56" s="447"/>
    </row>
    <row r="57" spans="3:19" ht="11.25">
      <c r="C57" s="447"/>
      <c r="F57" s="604"/>
      <c r="G57" s="604"/>
      <c r="H57" s="471"/>
      <c r="I57" s="447"/>
      <c r="J57" s="447"/>
      <c r="K57" s="447"/>
      <c r="L57" s="447"/>
      <c r="M57" s="447"/>
      <c r="N57" s="470"/>
      <c r="O57" s="447"/>
      <c r="P57" s="470"/>
      <c r="Q57" s="447"/>
      <c r="R57" s="447"/>
      <c r="S57" s="447"/>
    </row>
    <row r="58" spans="1:19" ht="11.25">
      <c r="A58" s="414">
        <v>2</v>
      </c>
      <c r="B58" s="414" t="s">
        <v>101</v>
      </c>
      <c r="C58" s="447"/>
      <c r="D58" s="447"/>
      <c r="E58" s="414" t="s">
        <v>628</v>
      </c>
      <c r="F58" s="470"/>
      <c r="G58" s="470"/>
      <c r="H58" s="470"/>
      <c r="I58" s="447"/>
      <c r="J58" s="447"/>
      <c r="K58" s="447"/>
      <c r="L58" s="447"/>
      <c r="M58" s="447"/>
      <c r="N58" s="470"/>
      <c r="O58" s="447"/>
      <c r="P58" s="470"/>
      <c r="Q58" s="447"/>
      <c r="R58" s="447"/>
      <c r="S58" s="447"/>
    </row>
    <row r="59" spans="2:19" ht="11.25">
      <c r="B59" s="414" t="s">
        <v>629</v>
      </c>
      <c r="C59" s="447"/>
      <c r="D59" s="447"/>
      <c r="E59" s="447"/>
      <c r="F59" s="447"/>
      <c r="G59" s="447"/>
      <c r="H59" s="447"/>
      <c r="I59" s="447"/>
      <c r="J59" s="469"/>
      <c r="K59" s="447"/>
      <c r="L59" s="447"/>
      <c r="M59" s="447"/>
      <c r="N59" s="470"/>
      <c r="O59" s="447"/>
      <c r="P59" s="470"/>
      <c r="Q59" s="447"/>
      <c r="R59" s="447"/>
      <c r="S59" s="447"/>
    </row>
    <row r="60" spans="4:19" ht="11.25">
      <c r="D60" s="447"/>
      <c r="E60" s="447"/>
      <c r="F60" s="447"/>
      <c r="G60" s="447"/>
      <c r="H60" s="447"/>
      <c r="I60" s="447"/>
      <c r="J60" s="469"/>
      <c r="K60" s="447"/>
      <c r="L60" s="447"/>
      <c r="M60" s="447"/>
      <c r="N60" s="470"/>
      <c r="O60" s="447"/>
      <c r="P60" s="470"/>
      <c r="Q60" s="447"/>
      <c r="R60" s="447"/>
      <c r="S60" s="447"/>
    </row>
    <row r="61" spans="3:19" ht="11.25">
      <c r="C61" s="447"/>
      <c r="D61" s="447"/>
      <c r="E61" s="447"/>
      <c r="F61" s="447"/>
      <c r="G61" s="447"/>
      <c r="H61" s="447"/>
      <c r="I61" s="447"/>
      <c r="J61" s="469"/>
      <c r="K61" s="447"/>
      <c r="L61" s="447"/>
      <c r="M61" s="447"/>
      <c r="N61" s="470"/>
      <c r="O61" s="447"/>
      <c r="P61" s="470"/>
      <c r="Q61" s="447"/>
      <c r="R61" s="447"/>
      <c r="S61" s="447"/>
    </row>
    <row r="62" spans="3:19" ht="11.25">
      <c r="C62" s="447"/>
      <c r="D62" s="447"/>
      <c r="E62" s="447"/>
      <c r="F62" s="447"/>
      <c r="G62" s="447"/>
      <c r="H62" s="447"/>
      <c r="I62" s="447"/>
      <c r="J62" s="469"/>
      <c r="K62" s="447"/>
      <c r="L62" s="447"/>
      <c r="M62" s="447"/>
      <c r="N62" s="470"/>
      <c r="O62" s="447"/>
      <c r="P62" s="470"/>
      <c r="Q62" s="447"/>
      <c r="R62" s="447"/>
      <c r="S62" s="447"/>
    </row>
    <row r="63" spans="3:19" ht="11.25"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70"/>
      <c r="O63" s="447"/>
      <c r="P63" s="470"/>
      <c r="Q63" s="447"/>
      <c r="R63" s="447"/>
      <c r="S63" s="447"/>
    </row>
    <row r="64" spans="3:19" ht="11.25"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72"/>
      <c r="N64" s="470"/>
      <c r="O64" s="447"/>
      <c r="P64" s="470"/>
      <c r="Q64" s="447"/>
      <c r="R64" s="447"/>
      <c r="S64" s="447"/>
    </row>
    <row r="65" spans="3:19" ht="11.25"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72"/>
      <c r="N65" s="470"/>
      <c r="O65" s="447"/>
      <c r="P65" s="470"/>
      <c r="Q65" s="447"/>
      <c r="R65" s="447"/>
      <c r="S65" s="447"/>
    </row>
    <row r="66" spans="3:19" ht="11.25"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70"/>
      <c r="O66" s="447"/>
      <c r="P66" s="470"/>
      <c r="Q66" s="447"/>
      <c r="R66" s="447"/>
      <c r="S66" s="447"/>
    </row>
    <row r="67" spans="3:19" ht="11.25"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70"/>
      <c r="O67" s="447"/>
      <c r="P67" s="470"/>
      <c r="Q67" s="447"/>
      <c r="R67" s="447"/>
      <c r="S67" s="447"/>
    </row>
    <row r="68" spans="3:19" ht="11.25"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70"/>
      <c r="O68" s="447"/>
      <c r="P68" s="470"/>
      <c r="Q68" s="447"/>
      <c r="R68" s="447"/>
      <c r="S68" s="447"/>
    </row>
    <row r="69" spans="3:19" ht="11.25"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70"/>
      <c r="O69" s="447"/>
      <c r="P69" s="473"/>
      <c r="Q69" s="447"/>
      <c r="R69" s="447"/>
      <c r="S69" s="447"/>
    </row>
    <row r="70" spans="3:19" ht="11.25"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47"/>
      <c r="N70" s="470"/>
      <c r="O70" s="447"/>
      <c r="P70" s="473"/>
      <c r="Q70" s="447"/>
      <c r="R70" s="447"/>
      <c r="S70" s="447"/>
    </row>
    <row r="71" spans="3:19" ht="11.25"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70"/>
      <c r="O71" s="447"/>
      <c r="P71" s="470"/>
      <c r="Q71" s="447"/>
      <c r="R71" s="447"/>
      <c r="S71" s="447"/>
    </row>
    <row r="72" spans="3:19" ht="11.25"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70"/>
      <c r="O72" s="447"/>
      <c r="P72" s="470"/>
      <c r="Q72" s="447"/>
      <c r="R72" s="447"/>
      <c r="S72" s="447"/>
    </row>
    <row r="73" spans="3:19" ht="11.25"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72"/>
      <c r="N73" s="470"/>
      <c r="O73" s="447"/>
      <c r="P73" s="470"/>
      <c r="Q73" s="447"/>
      <c r="R73" s="447"/>
      <c r="S73" s="447"/>
    </row>
    <row r="74" spans="3:19" ht="11.25"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  <c r="N74" s="470"/>
      <c r="O74" s="447"/>
      <c r="P74" s="470"/>
      <c r="Q74" s="447"/>
      <c r="R74" s="447"/>
      <c r="S74" s="447"/>
    </row>
    <row r="75" spans="3:19" ht="11.25">
      <c r="C75" s="469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70"/>
      <c r="O75" s="447"/>
      <c r="P75" s="470"/>
      <c r="Q75" s="447"/>
      <c r="R75" s="447"/>
      <c r="S75" s="447"/>
    </row>
    <row r="76" spans="3:19" ht="11.25">
      <c r="C76" s="447"/>
      <c r="D76" s="447"/>
      <c r="E76" s="447"/>
      <c r="F76" s="605"/>
      <c r="G76" s="605"/>
      <c r="H76" s="423"/>
      <c r="I76" s="423"/>
      <c r="J76" s="447"/>
      <c r="K76" s="447"/>
      <c r="L76" s="447"/>
      <c r="M76" s="447"/>
      <c r="N76" s="447"/>
      <c r="O76" s="470"/>
      <c r="P76" s="447"/>
      <c r="Q76" s="470"/>
      <c r="R76" s="447"/>
      <c r="S76" s="447"/>
    </row>
    <row r="77" spans="3:19" ht="11.25">
      <c r="C77" s="447"/>
      <c r="D77" s="447"/>
      <c r="E77" s="447"/>
      <c r="F77" s="423"/>
      <c r="G77" s="423"/>
      <c r="H77" s="423"/>
      <c r="I77" s="423"/>
      <c r="J77" s="447"/>
      <c r="K77" s="447"/>
      <c r="L77" s="447"/>
      <c r="M77" s="447"/>
      <c r="N77" s="447"/>
      <c r="O77" s="470"/>
      <c r="P77" s="447"/>
      <c r="Q77" s="470"/>
      <c r="R77" s="447"/>
      <c r="S77" s="447"/>
    </row>
    <row r="78" spans="3:19" ht="5.25" customHeight="1"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70"/>
      <c r="P78" s="447"/>
      <c r="Q78" s="470"/>
      <c r="R78" s="447"/>
      <c r="S78" s="447"/>
    </row>
    <row r="79" spans="3:19" ht="11.25"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70"/>
      <c r="N79" s="447"/>
      <c r="O79" s="470"/>
      <c r="P79" s="447"/>
      <c r="Q79" s="470"/>
      <c r="R79" s="470"/>
      <c r="S79" s="447"/>
    </row>
    <row r="80" spans="3:19" ht="11.25"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70"/>
      <c r="P80" s="447"/>
      <c r="Q80" s="470"/>
      <c r="R80" s="447"/>
      <c r="S80" s="447"/>
    </row>
    <row r="81" spans="3:19" ht="11.25"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74"/>
      <c r="P81" s="474"/>
      <c r="Q81" s="474"/>
      <c r="R81" s="474"/>
      <c r="S81" s="447"/>
    </row>
    <row r="82" spans="3:19" ht="11.25"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74"/>
      <c r="P82" s="474"/>
      <c r="Q82" s="474"/>
      <c r="R82" s="474"/>
      <c r="S82" s="447"/>
    </row>
    <row r="83" spans="3:19" ht="11.25"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470"/>
      <c r="O83" s="447"/>
      <c r="P83" s="470"/>
      <c r="Q83" s="447"/>
      <c r="R83" s="447"/>
      <c r="S83" s="447"/>
    </row>
    <row r="84" spans="3:19" ht="11.25"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70"/>
      <c r="O84" s="474"/>
      <c r="P84" s="474"/>
      <c r="Q84" s="474"/>
      <c r="R84" s="474"/>
      <c r="S84" s="447"/>
    </row>
    <row r="85" spans="3:19" ht="11.25"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70"/>
      <c r="O85" s="447"/>
      <c r="P85" s="470"/>
      <c r="Q85" s="447"/>
      <c r="R85" s="474"/>
      <c r="S85" s="447"/>
    </row>
    <row r="86" spans="3:19" ht="11.25"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70"/>
      <c r="O86" s="474"/>
      <c r="P86" s="474"/>
      <c r="Q86" s="474"/>
      <c r="R86" s="474"/>
      <c r="S86" s="447"/>
    </row>
    <row r="87" spans="3:19" ht="11.25"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70"/>
      <c r="O87" s="474"/>
      <c r="P87" s="474"/>
      <c r="Q87" s="474"/>
      <c r="R87" s="474"/>
      <c r="S87" s="447"/>
    </row>
    <row r="88" spans="3:19" ht="11.25"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70"/>
      <c r="O88" s="447"/>
      <c r="P88" s="470"/>
      <c r="Q88" s="447"/>
      <c r="R88" s="447"/>
      <c r="S88" s="447"/>
    </row>
    <row r="89" spans="3:19" ht="11.25"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70"/>
      <c r="O89" s="447"/>
      <c r="P89" s="470"/>
      <c r="Q89" s="447"/>
      <c r="R89" s="447"/>
      <c r="S89" s="447"/>
    </row>
    <row r="90" spans="3:9" ht="11.25">
      <c r="C90" s="447"/>
      <c r="D90" s="447"/>
      <c r="E90" s="447"/>
      <c r="F90" s="447"/>
      <c r="G90" s="447"/>
      <c r="H90" s="447"/>
      <c r="I90" s="447"/>
    </row>
    <row r="91" spans="3:9" ht="11.25">
      <c r="C91" s="447"/>
      <c r="D91" s="447"/>
      <c r="E91" s="447"/>
      <c r="F91" s="447"/>
      <c r="G91" s="447"/>
      <c r="H91" s="447"/>
      <c r="I91" s="447"/>
    </row>
    <row r="92" spans="3:9" ht="11.25">
      <c r="C92" s="447"/>
      <c r="D92" s="447"/>
      <c r="E92" s="447"/>
      <c r="F92" s="447"/>
      <c r="G92" s="447"/>
      <c r="H92" s="447"/>
      <c r="I92" s="447"/>
    </row>
  </sheetData>
  <mergeCells count="3">
    <mergeCell ref="N5:Q5"/>
    <mergeCell ref="F57:G57"/>
    <mergeCell ref="F76:G76"/>
  </mergeCells>
  <printOptions horizontalCentered="1"/>
  <pageMargins left="0" right="0" top="0.17" bottom="0.19" header="0.17" footer="0.19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57"/>
  <sheetViews>
    <sheetView zoomScale="75" zoomScaleNormal="75" workbookViewId="0" topLeftCell="C1">
      <selection activeCell="O18" sqref="O18"/>
    </sheetView>
  </sheetViews>
  <sheetFormatPr defaultColWidth="9.140625" defaultRowHeight="12.75"/>
  <cols>
    <col min="1" max="1" width="4.7109375" style="0" customWidth="1"/>
    <col min="2" max="2" width="30.8515625" style="0" customWidth="1"/>
    <col min="8" max="8" width="10.7109375" style="0" customWidth="1"/>
    <col min="15" max="15" width="10.140625" style="0" customWidth="1"/>
    <col min="16" max="16" width="10.57421875" style="0" customWidth="1"/>
  </cols>
  <sheetData>
    <row r="2" spans="1:16" ht="12.75">
      <c r="A2" s="5" t="s">
        <v>95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6" t="s">
        <v>849</v>
      </c>
    </row>
    <row r="3" spans="1:16" ht="12.75">
      <c r="A3" s="5" t="s">
        <v>255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</row>
    <row r="4" spans="1:16" ht="12.75">
      <c r="A4" s="1" t="s">
        <v>408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3"/>
      <c r="B6" s="33"/>
      <c r="C6" s="528" t="s">
        <v>96</v>
      </c>
      <c r="D6" s="526" t="s">
        <v>97</v>
      </c>
      <c r="E6" s="526" t="s">
        <v>98</v>
      </c>
      <c r="F6" s="526" t="s">
        <v>24</v>
      </c>
      <c r="G6" s="526" t="s">
        <v>100</v>
      </c>
      <c r="H6" s="526" t="s">
        <v>101</v>
      </c>
      <c r="I6" s="526" t="s">
        <v>102</v>
      </c>
      <c r="J6" s="528" t="s">
        <v>103</v>
      </c>
      <c r="K6" s="528" t="s">
        <v>104</v>
      </c>
      <c r="L6" s="34" t="s">
        <v>105</v>
      </c>
      <c r="M6" s="601" t="s">
        <v>106</v>
      </c>
      <c r="N6" s="602"/>
      <c r="O6" s="34">
        <v>2002</v>
      </c>
      <c r="P6" s="526">
        <v>2001</v>
      </c>
    </row>
    <row r="7" spans="1:16" ht="12.75">
      <c r="A7" s="36"/>
      <c r="B7" s="36"/>
      <c r="C7" s="530" t="s">
        <v>107</v>
      </c>
      <c r="D7" s="38"/>
      <c r="E7" s="38"/>
      <c r="F7" s="38" t="s">
        <v>878</v>
      </c>
      <c r="G7" s="527" t="s">
        <v>110</v>
      </c>
      <c r="H7" s="39"/>
      <c r="I7" s="527" t="s">
        <v>930</v>
      </c>
      <c r="J7" s="530" t="s">
        <v>111</v>
      </c>
      <c r="K7" s="530" t="s">
        <v>931</v>
      </c>
      <c r="L7" s="37"/>
      <c r="M7" s="38"/>
      <c r="N7" s="37"/>
      <c r="O7" s="37" t="s">
        <v>476</v>
      </c>
      <c r="P7" s="527" t="s">
        <v>476</v>
      </c>
    </row>
    <row r="8" spans="1:16" ht="12.75">
      <c r="A8" s="40"/>
      <c r="B8" s="40"/>
      <c r="C8" s="41"/>
      <c r="D8" s="42">
        <v>1</v>
      </c>
      <c r="E8" s="42">
        <v>1</v>
      </c>
      <c r="F8" s="42">
        <v>1</v>
      </c>
      <c r="G8" s="43">
        <f>1-0.3884</f>
        <v>0.6115999999999999</v>
      </c>
      <c r="H8" s="40" t="s">
        <v>112</v>
      </c>
      <c r="I8" s="42">
        <v>1</v>
      </c>
      <c r="J8" s="44">
        <v>0.51</v>
      </c>
      <c r="K8" s="44">
        <v>1</v>
      </c>
      <c r="L8" s="44"/>
      <c r="M8" s="45" t="s">
        <v>113</v>
      </c>
      <c r="N8" s="46" t="s">
        <v>114</v>
      </c>
      <c r="O8" s="105"/>
      <c r="P8" s="106" t="s">
        <v>477</v>
      </c>
    </row>
    <row r="9" spans="1:16" ht="12.75">
      <c r="A9" s="33"/>
      <c r="B9" s="33"/>
      <c r="C9" s="48"/>
      <c r="D9" s="33"/>
      <c r="E9" s="33"/>
      <c r="F9" s="33"/>
      <c r="G9" s="33"/>
      <c r="H9" s="33"/>
      <c r="I9" s="33"/>
      <c r="J9" s="33"/>
      <c r="K9" s="33"/>
      <c r="L9" s="33"/>
      <c r="M9" s="33"/>
      <c r="N9" s="104"/>
      <c r="O9" s="33"/>
      <c r="P9" s="48"/>
    </row>
    <row r="10" spans="1:22" ht="13.5" thickBot="1">
      <c r="A10" s="49" t="s">
        <v>409</v>
      </c>
      <c r="B10" s="40" t="s">
        <v>752</v>
      </c>
      <c r="C10" s="50">
        <f>1780-506</f>
        <v>1274</v>
      </c>
      <c r="D10" s="51">
        <f>9481-1498</f>
        <v>7983</v>
      </c>
      <c r="E10" s="51">
        <f>44053-17204</f>
        <v>26849</v>
      </c>
      <c r="F10" s="51">
        <v>0</v>
      </c>
      <c r="G10" s="51">
        <f>8378-3194</f>
        <v>5184</v>
      </c>
      <c r="H10" s="51">
        <f>10836-5979</f>
        <v>4857</v>
      </c>
      <c r="I10" s="51">
        <v>0</v>
      </c>
      <c r="J10" s="51">
        <v>0</v>
      </c>
      <c r="K10" s="51">
        <v>0</v>
      </c>
      <c r="L10" s="51">
        <f>SUM(C10:K10)</f>
        <v>46147</v>
      </c>
      <c r="M10" s="51">
        <v>694</v>
      </c>
      <c r="N10" s="51"/>
      <c r="O10" s="54">
        <f>L10-M10</f>
        <v>45453</v>
      </c>
      <c r="P10" s="115">
        <v>42458</v>
      </c>
      <c r="U10" s="476"/>
      <c r="V10" s="476"/>
    </row>
    <row r="11" spans="1:22" ht="12.75">
      <c r="A11" s="52"/>
      <c r="B11" s="4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51"/>
      <c r="O11" s="51"/>
      <c r="P11" s="51"/>
      <c r="U11" s="476"/>
      <c r="V11" s="476"/>
    </row>
    <row r="12" spans="1:22" ht="13.5" thickBot="1">
      <c r="A12" s="52" t="s">
        <v>402</v>
      </c>
      <c r="B12" s="40" t="s">
        <v>433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f>SUM(C12:K12)</f>
        <v>0</v>
      </c>
      <c r="M12" s="51"/>
      <c r="N12" s="51"/>
      <c r="O12" s="54">
        <f>L12</f>
        <v>0</v>
      </c>
      <c r="P12" s="115">
        <v>0</v>
      </c>
      <c r="U12" s="476"/>
      <c r="V12" s="476"/>
    </row>
    <row r="13" spans="1:22" ht="12.75">
      <c r="A13" s="52"/>
      <c r="B13" s="40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>
        <v>3</v>
      </c>
      <c r="N13" s="51"/>
      <c r="O13" s="51"/>
      <c r="P13" s="51"/>
      <c r="U13" s="476"/>
      <c r="V13" s="476"/>
    </row>
    <row r="14" spans="1:22" ht="13.5" thickBot="1">
      <c r="A14" s="49" t="s">
        <v>411</v>
      </c>
      <c r="B14" s="40" t="s">
        <v>410</v>
      </c>
      <c r="C14" s="50">
        <f>477-241</f>
        <v>236</v>
      </c>
      <c r="D14" s="51">
        <f>227-169</f>
        <v>58</v>
      </c>
      <c r="E14" s="51">
        <f>64-44</f>
        <v>20</v>
      </c>
      <c r="F14" s="51">
        <f>27-18</f>
        <v>9</v>
      </c>
      <c r="G14" s="51">
        <f>11-4</f>
        <v>7</v>
      </c>
      <c r="H14" s="51">
        <f>66-33</f>
        <v>33</v>
      </c>
      <c r="I14" s="51">
        <v>0</v>
      </c>
      <c r="J14" s="51">
        <v>0</v>
      </c>
      <c r="K14" s="51">
        <v>75</v>
      </c>
      <c r="L14" s="51">
        <f>SUM(C14:K14)</f>
        <v>438</v>
      </c>
      <c r="M14" s="51">
        <v>74</v>
      </c>
      <c r="N14" s="51"/>
      <c r="O14" s="54">
        <f>L14-M14-M13</f>
        <v>361</v>
      </c>
      <c r="P14" s="115">
        <v>1305</v>
      </c>
      <c r="U14" s="476"/>
      <c r="V14" s="476"/>
    </row>
    <row r="15" spans="1:22" ht="12.75">
      <c r="A15" s="52"/>
      <c r="B15" s="4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>
        <v>694</v>
      </c>
      <c r="N15" s="51"/>
      <c r="O15" s="51"/>
      <c r="P15" s="51"/>
      <c r="U15" s="476"/>
      <c r="V15" s="476"/>
    </row>
    <row r="16" spans="1:22" ht="12.75">
      <c r="A16" s="49" t="s">
        <v>412</v>
      </c>
      <c r="B16" s="40" t="s">
        <v>415</v>
      </c>
      <c r="C16" s="50">
        <f>1842-548</f>
        <v>1294</v>
      </c>
      <c r="D16" s="51">
        <f>2341-510</f>
        <v>1831</v>
      </c>
      <c r="E16" s="51">
        <f>3034+1649</f>
        <v>4683</v>
      </c>
      <c r="F16" s="51">
        <f>17-10</f>
        <v>7</v>
      </c>
      <c r="G16" s="51">
        <f>1767-293</f>
        <v>1474</v>
      </c>
      <c r="H16" s="51">
        <f>5565-3613</f>
        <v>1952</v>
      </c>
      <c r="I16" s="51">
        <v>0</v>
      </c>
      <c r="J16" s="51">
        <v>0</v>
      </c>
      <c r="K16" s="51">
        <v>74</v>
      </c>
      <c r="L16" s="51">
        <f>SUM(C16:K16)</f>
        <v>11315</v>
      </c>
      <c r="M16" s="51">
        <f>M14</f>
        <v>74</v>
      </c>
      <c r="N16" s="51">
        <v>-3</v>
      </c>
      <c r="O16" s="51">
        <f>L16-M16-N16-M15-M17-N17</f>
        <v>10562</v>
      </c>
      <c r="P16" s="94">
        <v>7691</v>
      </c>
      <c r="U16" s="476"/>
      <c r="V16" s="476"/>
    </row>
    <row r="17" spans="1:22" ht="12.75">
      <c r="A17" s="52"/>
      <c r="B17" s="40" t="s">
        <v>906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3">
        <v>3</v>
      </c>
      <c r="N17" s="51">
        <v>-15</v>
      </c>
      <c r="O17" s="51"/>
      <c r="P17" s="51"/>
      <c r="U17" s="476"/>
      <c r="V17" s="476"/>
    </row>
    <row r="18" spans="1:22" ht="12.75">
      <c r="A18" s="52" t="s">
        <v>402</v>
      </c>
      <c r="B18" s="40" t="s">
        <v>1080</v>
      </c>
      <c r="C18" s="50">
        <f>354-210</f>
        <v>144</v>
      </c>
      <c r="D18" s="51">
        <f>378-223</f>
        <v>155</v>
      </c>
      <c r="E18" s="51">
        <f>106-55</f>
        <v>51</v>
      </c>
      <c r="F18" s="51">
        <v>0</v>
      </c>
      <c r="G18" s="51">
        <f>281-149</f>
        <v>132</v>
      </c>
      <c r="H18" s="51">
        <f>-7+1057</f>
        <v>1050</v>
      </c>
      <c r="I18" s="51">
        <v>0</v>
      </c>
      <c r="J18" s="51">
        <v>0</v>
      </c>
      <c r="K18" s="51">
        <v>0</v>
      </c>
      <c r="L18" s="51">
        <f>SUM(C18:K18)</f>
        <v>1532</v>
      </c>
      <c r="M18" s="53"/>
      <c r="N18" s="51">
        <f>M16</f>
        <v>74</v>
      </c>
      <c r="O18" s="51">
        <f>L18-N18</f>
        <v>1458</v>
      </c>
      <c r="P18" s="94">
        <v>836</v>
      </c>
      <c r="U18" s="476"/>
      <c r="V18" s="476"/>
    </row>
    <row r="19" spans="1:22" ht="12.75">
      <c r="A19" s="52"/>
      <c r="B19" s="4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3"/>
      <c r="N19" s="51"/>
      <c r="O19" s="51"/>
      <c r="P19" s="51"/>
      <c r="U19" s="476"/>
      <c r="V19" s="476"/>
    </row>
    <row r="20" spans="1:22" ht="12.75">
      <c r="A20" s="49" t="s">
        <v>411</v>
      </c>
      <c r="B20" s="40" t="s">
        <v>836</v>
      </c>
      <c r="C20" s="50">
        <f>98-49</f>
        <v>49</v>
      </c>
      <c r="D20" s="51">
        <f>40-20</f>
        <v>20</v>
      </c>
      <c r="E20" s="51">
        <f>1039-515</f>
        <v>524</v>
      </c>
      <c r="F20" s="51">
        <v>0</v>
      </c>
      <c r="G20" s="51">
        <f>771-386</f>
        <v>385</v>
      </c>
      <c r="H20" s="51">
        <f>1770-341-1057</f>
        <v>372</v>
      </c>
      <c r="I20" s="51">
        <v>0</v>
      </c>
      <c r="J20" s="51">
        <v>0</v>
      </c>
      <c r="K20" s="51">
        <v>0</v>
      </c>
      <c r="L20" s="51">
        <f>SUM(C20:K20)</f>
        <v>1350</v>
      </c>
      <c r="M20" s="53">
        <v>542</v>
      </c>
      <c r="N20" s="51"/>
      <c r="O20" s="51">
        <f>L20+M20</f>
        <v>1892</v>
      </c>
      <c r="P20" s="94">
        <v>2285</v>
      </c>
      <c r="U20" s="476"/>
      <c r="V20" s="476"/>
    </row>
    <row r="21" spans="1:22" ht="12.75">
      <c r="A21" s="52"/>
      <c r="B21" s="40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3" t="s">
        <v>837</v>
      </c>
      <c r="N21" s="51"/>
      <c r="O21" s="51"/>
      <c r="P21" s="51"/>
      <c r="U21" s="476"/>
      <c r="V21" s="476"/>
    </row>
    <row r="22" spans="1:22" ht="12.75">
      <c r="A22" s="52" t="s">
        <v>413</v>
      </c>
      <c r="B22" s="40" t="s">
        <v>1084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f>SUM(C22:K22)</f>
        <v>0</v>
      </c>
      <c r="M22" s="51"/>
      <c r="N22" s="51"/>
      <c r="O22" s="51">
        <f>L22</f>
        <v>0</v>
      </c>
      <c r="P22" s="94">
        <v>0</v>
      </c>
      <c r="U22" s="476"/>
      <c r="V22" s="476"/>
    </row>
    <row r="23" spans="1:22" ht="12.75">
      <c r="A23" s="52"/>
      <c r="B23" s="4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9"/>
      <c r="P23" s="59"/>
      <c r="U23" s="476"/>
      <c r="V23" s="476"/>
    </row>
    <row r="24" spans="1:22" ht="12.75">
      <c r="A24" s="52" t="s">
        <v>414</v>
      </c>
      <c r="B24" s="40" t="s">
        <v>416</v>
      </c>
      <c r="C24" s="50">
        <f aca="true" t="shared" si="0" ref="C24:K24">C16-C18-C20-C22</f>
        <v>1101</v>
      </c>
      <c r="D24" s="51">
        <f t="shared" si="0"/>
        <v>1656</v>
      </c>
      <c r="E24" s="51">
        <f t="shared" si="0"/>
        <v>4108</v>
      </c>
      <c r="F24" s="51">
        <f t="shared" si="0"/>
        <v>7</v>
      </c>
      <c r="G24" s="51">
        <f t="shared" si="0"/>
        <v>957</v>
      </c>
      <c r="H24" s="51">
        <f t="shared" si="0"/>
        <v>530</v>
      </c>
      <c r="I24" s="51">
        <f t="shared" si="0"/>
        <v>0</v>
      </c>
      <c r="J24" s="51">
        <f t="shared" si="0"/>
        <v>0</v>
      </c>
      <c r="K24" s="51">
        <f t="shared" si="0"/>
        <v>74</v>
      </c>
      <c r="L24" s="51">
        <f>SUM(C24:K24)</f>
        <v>8433</v>
      </c>
      <c r="M24" s="51"/>
      <c r="N24" s="51"/>
      <c r="O24" s="51">
        <f>O16-O18-O20-O22</f>
        <v>7212</v>
      </c>
      <c r="P24" s="51">
        <f>P16-P18-P20-P22</f>
        <v>4570</v>
      </c>
      <c r="U24" s="476"/>
      <c r="V24" s="476"/>
    </row>
    <row r="25" spans="1:22" ht="12.75">
      <c r="A25" s="52"/>
      <c r="B25" s="4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U25" s="476"/>
      <c r="V25" s="476"/>
    </row>
    <row r="26" spans="1:22" ht="12.75">
      <c r="A26" s="52" t="s">
        <v>0</v>
      </c>
      <c r="B26" s="40" t="s">
        <v>417</v>
      </c>
      <c r="C26" s="50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f>SUM(C26:K26)</f>
        <v>0</v>
      </c>
      <c r="M26" s="51">
        <v>26</v>
      </c>
      <c r="N26" s="51"/>
      <c r="O26" s="51">
        <f>-M26</f>
        <v>-26</v>
      </c>
      <c r="P26" s="94">
        <v>-58</v>
      </c>
      <c r="U26" s="476"/>
      <c r="V26" s="476"/>
    </row>
    <row r="27" spans="2:22" ht="12.75">
      <c r="B27" s="40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9"/>
      <c r="P27" s="59"/>
      <c r="U27" s="476"/>
      <c r="V27" s="476"/>
    </row>
    <row r="28" spans="1:22" ht="12.75">
      <c r="A28" s="52" t="s">
        <v>3</v>
      </c>
      <c r="B28" s="40" t="s">
        <v>418</v>
      </c>
      <c r="C28" s="50">
        <f>C24+C26</f>
        <v>1101</v>
      </c>
      <c r="D28" s="51">
        <f>D24+D26</f>
        <v>1656</v>
      </c>
      <c r="E28" s="51">
        <f aca="true" t="shared" si="1" ref="E28:K28">SUM(E24:E27)</f>
        <v>4108</v>
      </c>
      <c r="F28" s="51">
        <f t="shared" si="1"/>
        <v>7</v>
      </c>
      <c r="G28" s="51">
        <f t="shared" si="1"/>
        <v>957</v>
      </c>
      <c r="H28" s="51">
        <f t="shared" si="1"/>
        <v>530</v>
      </c>
      <c r="I28" s="51">
        <f t="shared" si="1"/>
        <v>0</v>
      </c>
      <c r="J28" s="51">
        <f t="shared" si="1"/>
        <v>0</v>
      </c>
      <c r="K28" s="51">
        <f t="shared" si="1"/>
        <v>74</v>
      </c>
      <c r="L28" s="51">
        <f>SUM(C28:K28)</f>
        <v>8433</v>
      </c>
      <c r="M28" s="51"/>
      <c r="N28" s="51"/>
      <c r="O28" s="51">
        <f>O24+O26</f>
        <v>7186</v>
      </c>
      <c r="P28" s="51">
        <f>P24+P26</f>
        <v>4512</v>
      </c>
      <c r="U28" s="476"/>
      <c r="V28" s="476"/>
    </row>
    <row r="29" spans="1:22" ht="12.75">
      <c r="A29" s="52"/>
      <c r="B29" s="40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U29" s="476"/>
      <c r="V29" s="476"/>
    </row>
    <row r="30" spans="2:22" ht="12.75">
      <c r="B30" s="40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U30" s="476"/>
      <c r="V30" s="476"/>
    </row>
    <row r="31" spans="1:22" ht="12.75">
      <c r="A31" s="52"/>
      <c r="B31" s="40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U31" s="476"/>
      <c r="V31" s="476"/>
    </row>
    <row r="32" spans="1:22" ht="12.75">
      <c r="A32" s="49" t="s">
        <v>162</v>
      </c>
      <c r="B32" s="40" t="s">
        <v>7</v>
      </c>
      <c r="C32" s="50">
        <f>389-81</f>
        <v>308</v>
      </c>
      <c r="D32" s="51">
        <f>540-81</f>
        <v>459</v>
      </c>
      <c r="E32" s="51">
        <v>659</v>
      </c>
      <c r="F32" s="51">
        <f>5-3</f>
        <v>2</v>
      </c>
      <c r="G32" s="51">
        <v>0</v>
      </c>
      <c r="H32" s="51">
        <f>1359-914</f>
        <v>445</v>
      </c>
      <c r="I32" s="51">
        <v>0</v>
      </c>
      <c r="J32" s="51">
        <v>0</v>
      </c>
      <c r="K32" s="51">
        <v>21</v>
      </c>
      <c r="L32" s="51">
        <f>SUM(C32:K32)</f>
        <v>1894</v>
      </c>
      <c r="M32" s="51"/>
      <c r="N32" s="51"/>
      <c r="O32" s="51">
        <f>L32-N32</f>
        <v>1894</v>
      </c>
      <c r="P32" s="94">
        <v>925</v>
      </c>
      <c r="U32" s="476"/>
      <c r="V32" s="476"/>
    </row>
    <row r="33" spans="2:22" ht="12.75">
      <c r="B33" s="4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9"/>
      <c r="P33" s="59"/>
      <c r="U33" s="476"/>
      <c r="V33" s="476"/>
    </row>
    <row r="34" spans="1:22" ht="12.75">
      <c r="A34" s="52" t="s">
        <v>652</v>
      </c>
      <c r="B34" s="40" t="s">
        <v>420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U34" s="476"/>
      <c r="V34" s="476"/>
    </row>
    <row r="35" spans="1:22" ht="12.75">
      <c r="A35" s="49"/>
      <c r="B35" s="40" t="s">
        <v>421</v>
      </c>
      <c r="C35" s="50">
        <f>C28-C32</f>
        <v>793</v>
      </c>
      <c r="D35" s="51">
        <f>D28-D32</f>
        <v>1197</v>
      </c>
      <c r="E35" s="51">
        <v>3449</v>
      </c>
      <c r="F35" s="51">
        <f>F28-F32</f>
        <v>5</v>
      </c>
      <c r="G35" s="51">
        <f>SUM(G28:G34)</f>
        <v>957</v>
      </c>
      <c r="H35" s="51">
        <f>H28-H32</f>
        <v>85</v>
      </c>
      <c r="I35" s="51">
        <f>I28-I32</f>
        <v>0</v>
      </c>
      <c r="J35" s="51">
        <f>J28-J32</f>
        <v>0</v>
      </c>
      <c r="K35" s="51">
        <f>K28-K32</f>
        <v>53</v>
      </c>
      <c r="L35" s="51">
        <f>SUM(C35:K35)</f>
        <v>6539</v>
      </c>
      <c r="M35" s="51"/>
      <c r="N35" s="51"/>
      <c r="O35" s="51">
        <f>O28-O30-O32</f>
        <v>5292</v>
      </c>
      <c r="P35" s="51">
        <f>P28-P30-P32</f>
        <v>3587</v>
      </c>
      <c r="U35" s="476"/>
      <c r="V35" s="476"/>
    </row>
    <row r="36" spans="1:16" ht="12.75">
      <c r="A36" s="49"/>
      <c r="B36" s="40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2:21" ht="12.75">
      <c r="B37" s="40" t="s">
        <v>426</v>
      </c>
      <c r="C37" s="50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f>SUM(C37:K37)</f>
        <v>0</v>
      </c>
      <c r="M37" s="51">
        <v>438</v>
      </c>
      <c r="N37" s="333">
        <v>-396</v>
      </c>
      <c r="O37" s="51">
        <f>L37-M37-M38-N37</f>
        <v>-413</v>
      </c>
      <c r="P37" s="94">
        <v>-573</v>
      </c>
      <c r="R37" s="267"/>
      <c r="S37" s="267"/>
      <c r="T37" s="267"/>
      <c r="U37" s="267"/>
    </row>
    <row r="38" spans="1:21" ht="12.75">
      <c r="A38" s="49"/>
      <c r="B38" s="40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>
        <v>371</v>
      </c>
      <c r="N38" s="51"/>
      <c r="O38" s="51"/>
      <c r="P38" s="51"/>
      <c r="R38" s="267"/>
      <c r="S38" s="267"/>
      <c r="T38" s="267"/>
      <c r="U38" s="267"/>
    </row>
    <row r="39" spans="1:21" ht="12.75">
      <c r="A39" s="52" t="s">
        <v>27</v>
      </c>
      <c r="B39" s="40" t="s">
        <v>28</v>
      </c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9"/>
      <c r="P39" s="59"/>
      <c r="R39" s="267"/>
      <c r="S39" s="267"/>
      <c r="T39" s="267"/>
      <c r="U39" s="267"/>
    </row>
    <row r="40" spans="2:19" ht="12.75">
      <c r="B40" s="40" t="s">
        <v>432</v>
      </c>
      <c r="C40" s="50">
        <f>C35-C37</f>
        <v>793</v>
      </c>
      <c r="D40" s="51">
        <f>D35-D37</f>
        <v>1197</v>
      </c>
      <c r="E40" s="51">
        <f>E35-E37</f>
        <v>3449</v>
      </c>
      <c r="F40" s="51">
        <f>SUM(F35:F39)</f>
        <v>5</v>
      </c>
      <c r="G40" s="51">
        <f>G35-G37</f>
        <v>957</v>
      </c>
      <c r="H40" s="51">
        <f>H35-H37</f>
        <v>85</v>
      </c>
      <c r="I40" s="51">
        <f>I35-I37</f>
        <v>0</v>
      </c>
      <c r="J40" s="51">
        <f>J35-J37</f>
        <v>0</v>
      </c>
      <c r="K40" s="51">
        <f>K35-K37</f>
        <v>53</v>
      </c>
      <c r="L40" s="51">
        <f>SUM(C40:K40)</f>
        <v>6539</v>
      </c>
      <c r="M40" s="51"/>
      <c r="N40" s="51"/>
      <c r="O40" s="51">
        <f>O35+O37</f>
        <v>4879</v>
      </c>
      <c r="P40" s="51">
        <f>P35+P37</f>
        <v>3014</v>
      </c>
      <c r="S40" s="267"/>
    </row>
    <row r="41" spans="2:16" ht="12.75">
      <c r="B41" s="4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2.75">
      <c r="A42" s="52" t="s">
        <v>30</v>
      </c>
      <c r="B42" s="40" t="s">
        <v>779</v>
      </c>
      <c r="C42" s="50">
        <f>'cpl-qtr1'!D50</f>
        <v>7888.08</v>
      </c>
      <c r="D42" s="51">
        <f>'cpl-qtr1'!E50</f>
        <v>17745</v>
      </c>
      <c r="E42" s="51">
        <f>'cpl-qtr1'!F50</f>
        <v>15841</v>
      </c>
      <c r="F42" s="51">
        <f>'cpl-qtr1'!G50</f>
        <v>12</v>
      </c>
      <c r="G42" s="51">
        <f>'cpl-qtr1'!H50</f>
        <v>-26063</v>
      </c>
      <c r="H42" s="51">
        <f>'cpl-qtr1'!I50</f>
        <v>46334</v>
      </c>
      <c r="I42" s="51">
        <f>'cpl-qtr1'!J50</f>
        <v>-51</v>
      </c>
      <c r="J42" s="51">
        <f>'cpl-qtr1'!K50</f>
        <v>-399</v>
      </c>
      <c r="K42" s="51">
        <f>'cpl-qtr1'!L50</f>
        <v>873</v>
      </c>
      <c r="L42" s="51">
        <f>SUM(C42:K42)</f>
        <v>62180.08</v>
      </c>
      <c r="M42" s="51" t="s">
        <v>987</v>
      </c>
      <c r="N42" s="51"/>
      <c r="O42" s="51">
        <v>54828</v>
      </c>
      <c r="P42" s="51">
        <v>41284</v>
      </c>
    </row>
    <row r="43" spans="1:16" ht="12.75">
      <c r="A43" s="49"/>
      <c r="B43" s="4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9"/>
      <c r="P43" s="59"/>
    </row>
    <row r="44" spans="1:16" ht="12.75">
      <c r="A44" s="13" t="s">
        <v>35</v>
      </c>
      <c r="B44" s="40" t="s">
        <v>257</v>
      </c>
      <c r="C44" s="50">
        <f>C42+C40</f>
        <v>8681.08</v>
      </c>
      <c r="D44" s="51">
        <f>D42+D40-D43</f>
        <v>18942</v>
      </c>
      <c r="E44" s="51">
        <f>E42+E40-E43</f>
        <v>19290</v>
      </c>
      <c r="F44" s="51">
        <f>F40+F42</f>
        <v>17</v>
      </c>
      <c r="G44" s="51">
        <f>G40+G42</f>
        <v>-25106</v>
      </c>
      <c r="H44" s="51">
        <f>H42+H40</f>
        <v>46419</v>
      </c>
      <c r="I44" s="51">
        <f>I42+I40</f>
        <v>-51</v>
      </c>
      <c r="J44" s="51">
        <f>J42+J40</f>
        <v>-399</v>
      </c>
      <c r="K44" s="51">
        <f>K42+K40</f>
        <v>926</v>
      </c>
      <c r="L44" s="51">
        <f>L42+L40-L43</f>
        <v>68719.08</v>
      </c>
      <c r="M44" s="51"/>
      <c r="N44" s="51"/>
      <c r="O44" s="51">
        <f>O40+O42-O43</f>
        <v>59707</v>
      </c>
      <c r="P44" s="51">
        <f>P40+P42</f>
        <v>44298</v>
      </c>
    </row>
    <row r="45" spans="1:16" ht="12.75">
      <c r="A45" s="52"/>
      <c r="B45" s="40" t="s">
        <v>950</v>
      </c>
      <c r="C45" s="50">
        <v>0</v>
      </c>
      <c r="D45" s="50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f>SUM(C45:K45)</f>
        <v>0</v>
      </c>
      <c r="M45" s="51"/>
      <c r="N45" s="51"/>
      <c r="O45" s="51">
        <f>L45</f>
        <v>0</v>
      </c>
      <c r="P45" s="51">
        <v>24</v>
      </c>
    </row>
    <row r="46" spans="1:16" ht="12.75">
      <c r="A46" s="49"/>
      <c r="B46" s="40" t="s">
        <v>168</v>
      </c>
      <c r="C46" s="50">
        <v>0</v>
      </c>
      <c r="D46" s="51">
        <v>0</v>
      </c>
      <c r="E46" s="51">
        <v>-500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f>SUM(C46:K46)</f>
        <v>-500</v>
      </c>
      <c r="M46" s="51"/>
      <c r="N46" s="51">
        <v>-500</v>
      </c>
      <c r="O46" s="51">
        <f>L46-N46</f>
        <v>0</v>
      </c>
      <c r="P46" s="51">
        <v>-2156</v>
      </c>
    </row>
    <row r="47" spans="1:16" ht="13.5" thickBot="1">
      <c r="A47" s="49"/>
      <c r="B47" s="40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210"/>
      <c r="O47" s="54"/>
      <c r="P47" s="54"/>
    </row>
    <row r="48" spans="1:18" ht="13.5" thickBot="1">
      <c r="A48" s="60"/>
      <c r="B48" s="36" t="s">
        <v>770</v>
      </c>
      <c r="C48" s="58">
        <f aca="true" t="shared" si="2" ref="C48:K48">C44-C46</f>
        <v>8681.08</v>
      </c>
      <c r="D48" s="58">
        <f>D44+D45-D46</f>
        <v>18942</v>
      </c>
      <c r="E48" s="58">
        <f>E44+E45+E46</f>
        <v>18790</v>
      </c>
      <c r="F48" s="59">
        <f t="shared" si="2"/>
        <v>17</v>
      </c>
      <c r="G48" s="59">
        <f t="shared" si="2"/>
        <v>-25106</v>
      </c>
      <c r="H48" s="59">
        <f>H44+H46</f>
        <v>46419</v>
      </c>
      <c r="I48" s="59">
        <f t="shared" si="2"/>
        <v>-51</v>
      </c>
      <c r="J48" s="59">
        <f t="shared" si="2"/>
        <v>-399</v>
      </c>
      <c r="K48" s="59">
        <f t="shared" si="2"/>
        <v>926</v>
      </c>
      <c r="L48" s="59">
        <f>L44+L45+L46</f>
        <v>68219.08</v>
      </c>
      <c r="M48" s="59"/>
      <c r="N48" s="140"/>
      <c r="O48" s="164">
        <f>SUM(O44:O46)</f>
        <v>59707</v>
      </c>
      <c r="P48" s="211">
        <f>SUM(P44:P47)</f>
        <v>42166</v>
      </c>
      <c r="R48" s="476"/>
    </row>
    <row r="49" spans="2:17" ht="12.75">
      <c r="B49" s="1" t="s">
        <v>640</v>
      </c>
      <c r="Q49" s="476"/>
    </row>
    <row r="50" spans="2:18" ht="12.75">
      <c r="B50" s="1" t="s">
        <v>641</v>
      </c>
      <c r="C50" s="1"/>
      <c r="D50" s="1"/>
      <c r="E50" s="1"/>
      <c r="F50" s="1"/>
      <c r="G50" s="1"/>
      <c r="H50" s="1"/>
      <c r="I50" s="1"/>
      <c r="O50" s="476"/>
      <c r="Q50" s="476"/>
      <c r="R50" s="476"/>
    </row>
    <row r="51" spans="2:13" ht="12.75">
      <c r="B51" s="1" t="s">
        <v>9</v>
      </c>
      <c r="C51" s="1" t="s">
        <v>11</v>
      </c>
      <c r="D51" s="1"/>
      <c r="F51" s="1"/>
      <c r="G51" s="1" t="s">
        <v>319</v>
      </c>
      <c r="I51" s="1"/>
      <c r="K51" s="476"/>
      <c r="L51" s="476"/>
      <c r="M51" s="476"/>
    </row>
    <row r="52" spans="2:17" ht="12.75">
      <c r="B52" s="1" t="s">
        <v>75</v>
      </c>
      <c r="C52" s="1" t="s">
        <v>710</v>
      </c>
      <c r="D52" s="1"/>
      <c r="F52" s="1"/>
      <c r="G52" s="1" t="s">
        <v>364</v>
      </c>
      <c r="I52" s="1"/>
      <c r="L52" s="476"/>
      <c r="M52" s="476"/>
      <c r="Q52" s="476"/>
    </row>
    <row r="53" spans="2:9" ht="12.75">
      <c r="B53" s="1" t="s">
        <v>709</v>
      </c>
      <c r="C53" s="1" t="s">
        <v>708</v>
      </c>
      <c r="D53" s="1"/>
      <c r="F53" s="1"/>
      <c r="G53" s="1" t="s">
        <v>674</v>
      </c>
      <c r="I53" s="1"/>
    </row>
    <row r="54" spans="2:9" ht="12.75">
      <c r="B54" s="1" t="s">
        <v>644</v>
      </c>
      <c r="D54" s="1"/>
      <c r="E54" s="1"/>
      <c r="F54" s="1"/>
      <c r="G54" s="1"/>
      <c r="H54" s="1"/>
      <c r="I54" s="1"/>
    </row>
    <row r="55" spans="2:9" ht="12.75">
      <c r="B55" s="1" t="s">
        <v>321</v>
      </c>
      <c r="D55" s="1"/>
      <c r="E55" s="1"/>
      <c r="F55" s="1"/>
      <c r="G55" s="1"/>
      <c r="H55" s="1"/>
      <c r="I55" s="1"/>
    </row>
    <row r="56" ht="12.75">
      <c r="B56" s="1" t="s">
        <v>988</v>
      </c>
    </row>
    <row r="57" ht="12.75">
      <c r="B57" s="1"/>
    </row>
  </sheetData>
  <mergeCells count="1">
    <mergeCell ref="M6:N6"/>
  </mergeCells>
  <printOptions/>
  <pageMargins left="0.2" right="0.21" top="0.17" bottom="0.17" header="0.17" footer="0.17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E33">
      <selection activeCell="C42" sqref="C42"/>
    </sheetView>
  </sheetViews>
  <sheetFormatPr defaultColWidth="9.140625" defaultRowHeight="12.75"/>
  <cols>
    <col min="1" max="1" width="4.7109375" style="0" customWidth="1"/>
    <col min="2" max="2" width="30.8515625" style="0" customWidth="1"/>
    <col min="8" max="8" width="10.7109375" style="0" customWidth="1"/>
    <col min="15" max="15" width="10.140625" style="0" customWidth="1"/>
    <col min="16" max="16" width="10.57421875" style="0" customWidth="1"/>
  </cols>
  <sheetData>
    <row r="2" spans="1:16" ht="12.75">
      <c r="A2" s="5" t="s">
        <v>95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6" t="s">
        <v>849</v>
      </c>
    </row>
    <row r="3" spans="1:16" ht="12.75">
      <c r="A3" s="5" t="s">
        <v>775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</row>
    <row r="4" spans="1:16" ht="12.75">
      <c r="A4" s="1" t="s">
        <v>408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3"/>
      <c r="B6" s="33"/>
      <c r="C6" s="34" t="s">
        <v>96</v>
      </c>
      <c r="D6" s="35" t="s">
        <v>97</v>
      </c>
      <c r="E6" s="35" t="s">
        <v>98</v>
      </c>
      <c r="F6" s="35" t="s">
        <v>877</v>
      </c>
      <c r="G6" s="35" t="s">
        <v>100</v>
      </c>
      <c r="H6" s="35" t="s">
        <v>101</v>
      </c>
      <c r="I6" s="35" t="s">
        <v>102</v>
      </c>
      <c r="J6" s="34" t="s">
        <v>103</v>
      </c>
      <c r="K6" s="34" t="s">
        <v>104</v>
      </c>
      <c r="L6" s="34" t="s">
        <v>105</v>
      </c>
      <c r="M6" s="601" t="s">
        <v>106</v>
      </c>
      <c r="N6" s="602"/>
      <c r="O6" s="34">
        <v>2001</v>
      </c>
      <c r="P6" s="35">
        <v>2000</v>
      </c>
    </row>
    <row r="7" spans="1:16" ht="12.75">
      <c r="A7" s="36"/>
      <c r="B7" s="36"/>
      <c r="C7" s="37" t="s">
        <v>107</v>
      </c>
      <c r="D7" s="38"/>
      <c r="E7" s="38" t="s">
        <v>108</v>
      </c>
      <c r="F7" s="38" t="s">
        <v>878</v>
      </c>
      <c r="G7" s="38" t="s">
        <v>110</v>
      </c>
      <c r="H7" s="39"/>
      <c r="I7" s="39"/>
      <c r="J7" s="37" t="s">
        <v>111</v>
      </c>
      <c r="K7" s="37"/>
      <c r="L7" s="37"/>
      <c r="M7" s="38"/>
      <c r="N7" s="37"/>
      <c r="O7" s="37" t="s">
        <v>476</v>
      </c>
      <c r="P7" s="38" t="s">
        <v>476</v>
      </c>
    </row>
    <row r="8" spans="1:16" ht="12.75">
      <c r="A8" s="40"/>
      <c r="B8" s="40"/>
      <c r="C8" s="41"/>
      <c r="D8" s="42">
        <v>1</v>
      </c>
      <c r="E8" s="42">
        <v>1</v>
      </c>
      <c r="F8" s="42">
        <v>1</v>
      </c>
      <c r="G8" s="43">
        <f>1-0.3884</f>
        <v>0.6115999999999999</v>
      </c>
      <c r="H8" s="40" t="s">
        <v>112</v>
      </c>
      <c r="I8" s="42">
        <v>1</v>
      </c>
      <c r="J8" s="44">
        <v>0.51</v>
      </c>
      <c r="K8" s="44">
        <v>1</v>
      </c>
      <c r="L8" s="44"/>
      <c r="M8" s="45" t="s">
        <v>113</v>
      </c>
      <c r="N8" s="46" t="s">
        <v>114</v>
      </c>
      <c r="O8" s="105"/>
      <c r="P8" s="106" t="s">
        <v>477</v>
      </c>
    </row>
    <row r="9" spans="1:16" ht="12.75">
      <c r="A9" s="33"/>
      <c r="B9" s="33"/>
      <c r="C9" s="48"/>
      <c r="D9" s="33"/>
      <c r="E9" s="33"/>
      <c r="F9" s="33"/>
      <c r="G9" s="33"/>
      <c r="H9" s="33"/>
      <c r="I9" s="33"/>
      <c r="J9" s="33"/>
      <c r="K9" s="33"/>
      <c r="L9" s="33"/>
      <c r="M9" s="33"/>
      <c r="N9" s="104"/>
      <c r="O9" s="33"/>
      <c r="P9" s="48"/>
    </row>
    <row r="10" spans="1:16" ht="13.5" thickBot="1">
      <c r="A10" s="49" t="s">
        <v>409</v>
      </c>
      <c r="B10" s="40" t="s">
        <v>752</v>
      </c>
      <c r="C10" s="50">
        <v>1201</v>
      </c>
      <c r="D10" s="51">
        <v>3993</v>
      </c>
      <c r="E10" s="51">
        <v>20884</v>
      </c>
      <c r="F10" s="51">
        <v>0</v>
      </c>
      <c r="G10" s="51">
        <v>3961</v>
      </c>
      <c r="H10" s="51">
        <v>7298</v>
      </c>
      <c r="I10" s="51">
        <v>0</v>
      </c>
      <c r="J10" s="51">
        <v>0</v>
      </c>
      <c r="K10" s="51">
        <v>0</v>
      </c>
      <c r="L10" s="51">
        <f>SUM(C10:K10)</f>
        <v>37337</v>
      </c>
      <c r="M10" s="51">
        <v>694</v>
      </c>
      <c r="N10" s="51"/>
      <c r="O10" s="54">
        <f>L10-M10</f>
        <v>36643</v>
      </c>
      <c r="P10" s="115">
        <v>47330</v>
      </c>
    </row>
    <row r="11" spans="1:16" ht="12.75">
      <c r="A11" s="52"/>
      <c r="B11" s="4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51"/>
      <c r="O11" s="51"/>
      <c r="P11" s="51"/>
    </row>
    <row r="12" spans="1:16" ht="13.5" thickBot="1">
      <c r="A12" s="52" t="s">
        <v>402</v>
      </c>
      <c r="B12" s="40" t="s">
        <v>433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f>SUM(C12:K12)</f>
        <v>0</v>
      </c>
      <c r="M12" s="51"/>
      <c r="N12" s="51"/>
      <c r="O12" s="54">
        <f>L12</f>
        <v>0</v>
      </c>
      <c r="P12" s="115">
        <v>0</v>
      </c>
    </row>
    <row r="13" spans="1:16" ht="12.75">
      <c r="A13" s="52"/>
      <c r="B13" s="40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3.5" thickBot="1">
      <c r="A14" s="49" t="s">
        <v>411</v>
      </c>
      <c r="B14" s="40" t="s">
        <v>410</v>
      </c>
      <c r="C14" s="50">
        <v>209</v>
      </c>
      <c r="D14" s="51">
        <v>18</v>
      </c>
      <c r="E14" s="51">
        <v>-27</v>
      </c>
      <c r="F14" s="51">
        <v>5</v>
      </c>
      <c r="G14" s="51">
        <v>2</v>
      </c>
      <c r="H14" s="51">
        <v>433</v>
      </c>
      <c r="I14" s="51">
        <v>0</v>
      </c>
      <c r="J14" s="51">
        <v>0</v>
      </c>
      <c r="K14" s="51">
        <v>0</v>
      </c>
      <c r="L14" s="51">
        <f>SUM(C14:K14)</f>
        <v>640</v>
      </c>
      <c r="M14" s="51">
        <v>135</v>
      </c>
      <c r="N14" s="51"/>
      <c r="O14" s="54">
        <f>L14-M14</f>
        <v>505</v>
      </c>
      <c r="P14" s="115">
        <v>553</v>
      </c>
    </row>
    <row r="15" spans="1:16" ht="12.75">
      <c r="A15" s="52"/>
      <c r="B15" s="4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2.75">
      <c r="A16" s="49" t="s">
        <v>412</v>
      </c>
      <c r="B16" s="40" t="s">
        <v>415</v>
      </c>
      <c r="C16" s="50">
        <v>1158</v>
      </c>
      <c r="D16" s="51">
        <v>-1266</v>
      </c>
      <c r="E16" s="51">
        <v>421</v>
      </c>
      <c r="F16" s="51">
        <v>-5</v>
      </c>
      <c r="G16" s="51">
        <v>680</v>
      </c>
      <c r="H16" s="51">
        <v>4134</v>
      </c>
      <c r="I16" s="51">
        <v>0</v>
      </c>
      <c r="J16" s="51">
        <v>0</v>
      </c>
      <c r="K16" s="51">
        <v>0</v>
      </c>
      <c r="L16" s="51">
        <f>SUM(C16:K16)</f>
        <v>5122</v>
      </c>
      <c r="M16" s="51">
        <v>135</v>
      </c>
      <c r="N16" s="51">
        <v>15</v>
      </c>
      <c r="O16" s="51">
        <f>L16-M16-M17+N17+N16</f>
        <v>4308</v>
      </c>
      <c r="P16" s="94">
        <v>8774</v>
      </c>
    </row>
    <row r="17" spans="1:16" ht="12.75">
      <c r="A17" s="52"/>
      <c r="B17" s="40" t="s">
        <v>906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3">
        <v>694</v>
      </c>
      <c r="N17" s="51"/>
      <c r="O17" s="51"/>
      <c r="P17" s="51"/>
    </row>
    <row r="18" spans="1:16" ht="12.75">
      <c r="A18" s="52" t="s">
        <v>402</v>
      </c>
      <c r="B18" s="40" t="s">
        <v>1080</v>
      </c>
      <c r="C18" s="50">
        <v>204</v>
      </c>
      <c r="D18" s="51">
        <v>156</v>
      </c>
      <c r="E18" s="51">
        <v>75</v>
      </c>
      <c r="F18" s="51">
        <v>0</v>
      </c>
      <c r="G18" s="51">
        <v>285</v>
      </c>
      <c r="H18" s="51">
        <v>0</v>
      </c>
      <c r="I18" s="51">
        <v>0</v>
      </c>
      <c r="J18" s="51">
        <v>0</v>
      </c>
      <c r="K18" s="51">
        <v>0</v>
      </c>
      <c r="L18" s="51">
        <f>SUM(C18:K18)</f>
        <v>720</v>
      </c>
      <c r="M18" s="53"/>
      <c r="N18" s="51">
        <v>135</v>
      </c>
      <c r="O18" s="51">
        <f>L18-N18</f>
        <v>585</v>
      </c>
      <c r="P18" s="94">
        <v>962</v>
      </c>
    </row>
    <row r="19" spans="1:16" ht="12.75">
      <c r="A19" s="52"/>
      <c r="B19" s="4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3"/>
      <c r="N19" s="51"/>
      <c r="O19" s="51"/>
      <c r="P19" s="51"/>
    </row>
    <row r="20" spans="1:16" ht="12.75">
      <c r="A20" s="49" t="s">
        <v>411</v>
      </c>
      <c r="B20" s="40" t="s">
        <v>836</v>
      </c>
      <c r="C20" s="50">
        <v>44</v>
      </c>
      <c r="D20" s="51">
        <v>23</v>
      </c>
      <c r="E20" s="51">
        <v>535</v>
      </c>
      <c r="F20" s="51">
        <v>0</v>
      </c>
      <c r="G20" s="51">
        <v>385</v>
      </c>
      <c r="H20" s="51">
        <v>322</v>
      </c>
      <c r="I20" s="51">
        <v>0</v>
      </c>
      <c r="J20" s="51">
        <v>0</v>
      </c>
      <c r="K20" s="51">
        <v>0</v>
      </c>
      <c r="L20" s="51">
        <f>SUM(C20:K20)</f>
        <v>1309</v>
      </c>
      <c r="M20" s="53">
        <v>541</v>
      </c>
      <c r="N20" s="51"/>
      <c r="O20" s="51">
        <f>L20+M20</f>
        <v>1850</v>
      </c>
      <c r="P20" s="94">
        <v>2175</v>
      </c>
    </row>
    <row r="21" spans="1:16" ht="12.75">
      <c r="A21" s="52"/>
      <c r="B21" s="40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3" t="s">
        <v>837</v>
      </c>
      <c r="N21" s="51"/>
      <c r="O21" s="51"/>
      <c r="P21" s="51"/>
    </row>
    <row r="22" spans="1:16" ht="12.75">
      <c r="A22" s="52" t="s">
        <v>413</v>
      </c>
      <c r="B22" s="40" t="s">
        <v>1084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f>SUM(C22:K22)</f>
        <v>0</v>
      </c>
      <c r="M22" s="51"/>
      <c r="N22" s="51"/>
      <c r="O22" s="51">
        <f>L22</f>
        <v>0</v>
      </c>
      <c r="P22" s="94">
        <v>0</v>
      </c>
    </row>
    <row r="23" spans="1:16" ht="12.75">
      <c r="A23" s="49"/>
      <c r="B23" s="4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9"/>
      <c r="P23" s="59"/>
    </row>
    <row r="24" spans="1:16" ht="12.75">
      <c r="A24" s="52" t="s">
        <v>414</v>
      </c>
      <c r="B24" s="40" t="s">
        <v>416</v>
      </c>
      <c r="C24" s="50">
        <f>C16-C18-C20-C22</f>
        <v>910</v>
      </c>
      <c r="D24" s="51">
        <f aca="true" t="shared" si="0" ref="D24:K24">D16-D18-D20-D22</f>
        <v>-1445</v>
      </c>
      <c r="E24" s="51">
        <f t="shared" si="0"/>
        <v>-189</v>
      </c>
      <c r="F24" s="51">
        <f t="shared" si="0"/>
        <v>-5</v>
      </c>
      <c r="G24" s="51">
        <f t="shared" si="0"/>
        <v>10</v>
      </c>
      <c r="H24" s="51">
        <f t="shared" si="0"/>
        <v>3812</v>
      </c>
      <c r="I24" s="51">
        <f t="shared" si="0"/>
        <v>0</v>
      </c>
      <c r="J24" s="51">
        <f t="shared" si="0"/>
        <v>0</v>
      </c>
      <c r="K24" s="51">
        <f t="shared" si="0"/>
        <v>0</v>
      </c>
      <c r="L24" s="51">
        <f>SUM(C24:K24)</f>
        <v>3093</v>
      </c>
      <c r="M24" s="51"/>
      <c r="N24" s="51"/>
      <c r="O24" s="51">
        <f>O16-O18-O20-O22</f>
        <v>1873</v>
      </c>
      <c r="P24" s="51">
        <f>P16-P18-P20-P22</f>
        <v>5637</v>
      </c>
    </row>
    <row r="25" spans="1:16" ht="12.75">
      <c r="A25" s="52"/>
      <c r="B25" s="4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75">
      <c r="A26" s="52" t="s">
        <v>0</v>
      </c>
      <c r="B26" s="40" t="s">
        <v>417</v>
      </c>
      <c r="C26" s="50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f>SUM(C26:K26)</f>
        <v>0</v>
      </c>
      <c r="M26" s="51">
        <f>59</f>
        <v>59</v>
      </c>
      <c r="N26" s="51"/>
      <c r="O26" s="51">
        <f>-M26</f>
        <v>-59</v>
      </c>
      <c r="P26" s="94">
        <v>0</v>
      </c>
    </row>
    <row r="27" spans="1:16" ht="12.75">
      <c r="A27" s="52"/>
      <c r="B27" s="40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9"/>
      <c r="P27" s="59"/>
    </row>
    <row r="28" spans="1:16" ht="12.75">
      <c r="A28" s="52" t="s">
        <v>3</v>
      </c>
      <c r="B28" s="40" t="s">
        <v>418</v>
      </c>
      <c r="C28" s="50">
        <f>C24+C26</f>
        <v>910</v>
      </c>
      <c r="D28" s="51">
        <f>D24+D26</f>
        <v>-1445</v>
      </c>
      <c r="E28" s="51">
        <f aca="true" t="shared" si="1" ref="E28:K28">SUM(E24:E27)</f>
        <v>-189</v>
      </c>
      <c r="F28" s="51">
        <f t="shared" si="1"/>
        <v>-5</v>
      </c>
      <c r="G28" s="51">
        <f t="shared" si="1"/>
        <v>10</v>
      </c>
      <c r="H28" s="51">
        <f t="shared" si="1"/>
        <v>3812</v>
      </c>
      <c r="I28" s="51">
        <f t="shared" si="1"/>
        <v>0</v>
      </c>
      <c r="J28" s="51">
        <f t="shared" si="1"/>
        <v>0</v>
      </c>
      <c r="K28" s="51">
        <f t="shared" si="1"/>
        <v>0</v>
      </c>
      <c r="L28" s="51">
        <f>SUM(C28:K28)</f>
        <v>3093</v>
      </c>
      <c r="M28" s="51"/>
      <c r="N28" s="51"/>
      <c r="O28" s="51">
        <f>O24+O26</f>
        <v>1814</v>
      </c>
      <c r="P28" s="51">
        <f>P24-P26</f>
        <v>5637</v>
      </c>
    </row>
    <row r="29" spans="1:16" ht="12.75">
      <c r="A29" s="52"/>
      <c r="B29" s="40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2.75">
      <c r="A30" s="52"/>
      <c r="B30" s="40" t="s">
        <v>879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1">
        <f>SUM(C30:K30)</f>
        <v>0</v>
      </c>
      <c r="M30" s="51"/>
      <c r="N30" s="51"/>
      <c r="O30" s="59">
        <v>8820</v>
      </c>
      <c r="P30" s="51">
        <v>0</v>
      </c>
    </row>
    <row r="31" spans="1:16" ht="12.75">
      <c r="A31" s="52"/>
      <c r="B31" s="40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>
        <f>SUM(O28:O30)</f>
        <v>10634</v>
      </c>
      <c r="P31" s="51">
        <f>P28+P30</f>
        <v>5637</v>
      </c>
    </row>
    <row r="32" spans="1:16" ht="12.75">
      <c r="A32" s="52" t="s">
        <v>6</v>
      </c>
      <c r="B32" s="40" t="s">
        <v>7</v>
      </c>
      <c r="C32" s="50">
        <v>409</v>
      </c>
      <c r="D32" s="51">
        <v>-397</v>
      </c>
      <c r="E32" s="51">
        <v>242</v>
      </c>
      <c r="F32" s="51">
        <v>0</v>
      </c>
      <c r="G32" s="51">
        <v>0</v>
      </c>
      <c r="H32" s="51">
        <v>1067</v>
      </c>
      <c r="I32" s="51">
        <v>0</v>
      </c>
      <c r="J32" s="51">
        <v>0</v>
      </c>
      <c r="K32" s="51">
        <v>0</v>
      </c>
      <c r="L32" s="51">
        <f>SUM(C32:K32)</f>
        <v>1321</v>
      </c>
      <c r="M32" s="51"/>
      <c r="N32" s="51"/>
      <c r="O32" s="51">
        <f>L32-N32</f>
        <v>1321</v>
      </c>
      <c r="P32" s="94">
        <v>1635</v>
      </c>
    </row>
    <row r="33" spans="1:16" ht="12.75">
      <c r="A33" s="52"/>
      <c r="B33" s="4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9"/>
      <c r="P33" s="59"/>
    </row>
    <row r="34" spans="1:16" ht="12.75">
      <c r="A34" s="49" t="s">
        <v>419</v>
      </c>
      <c r="B34" s="40" t="s">
        <v>420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2.75">
      <c r="A35" s="49"/>
      <c r="B35" s="40" t="s">
        <v>421</v>
      </c>
      <c r="C35" s="50">
        <f>C28-C32</f>
        <v>501</v>
      </c>
      <c r="D35" s="51">
        <f>D28-D32</f>
        <v>-1048</v>
      </c>
      <c r="E35" s="51">
        <f>E28-E32</f>
        <v>-431</v>
      </c>
      <c r="F35" s="51">
        <f>F28-F32</f>
        <v>-5</v>
      </c>
      <c r="G35" s="51">
        <f>SUM(G28:G34)</f>
        <v>10</v>
      </c>
      <c r="H35" s="51">
        <f>H28-H32</f>
        <v>2745</v>
      </c>
      <c r="I35" s="51">
        <f>I28-I32</f>
        <v>0</v>
      </c>
      <c r="J35" s="51">
        <f>J28-J32</f>
        <v>0</v>
      </c>
      <c r="K35" s="51">
        <f>K28-K32</f>
        <v>0</v>
      </c>
      <c r="L35" s="51">
        <f>SUM(C35:K35)</f>
        <v>1772</v>
      </c>
      <c r="M35" s="51">
        <v>0</v>
      </c>
      <c r="N35" s="51">
        <v>0</v>
      </c>
      <c r="O35" s="51">
        <f>O31-O32</f>
        <v>9313</v>
      </c>
      <c r="P35" s="51">
        <f>P28-P30-P32</f>
        <v>4002</v>
      </c>
    </row>
    <row r="36" spans="1:16" ht="12.75">
      <c r="A36" s="49"/>
      <c r="B36" s="40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ht="12.75">
      <c r="A37" s="49"/>
      <c r="B37" s="40" t="s">
        <v>426</v>
      </c>
      <c r="C37" s="50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f>SUM(C37:K37)</f>
        <v>0</v>
      </c>
      <c r="M37" s="51">
        <f>H35*0.5</f>
        <v>1372.5</v>
      </c>
      <c r="O37" s="51">
        <f>L37+M37+M38</f>
        <v>1376.384</v>
      </c>
      <c r="P37" s="94">
        <v>623</v>
      </c>
    </row>
    <row r="38" spans="1:16" ht="12.75">
      <c r="A38" s="49"/>
      <c r="B38" s="40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>
        <f>G35*0.3884</f>
        <v>3.8840000000000003</v>
      </c>
      <c r="N38" s="51"/>
      <c r="O38" s="51"/>
      <c r="P38" s="51"/>
    </row>
    <row r="39" spans="1:16" ht="12.75">
      <c r="A39" s="52" t="s">
        <v>27</v>
      </c>
      <c r="B39" s="40" t="s">
        <v>28</v>
      </c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9"/>
      <c r="P39" s="59"/>
    </row>
    <row r="40" spans="1:16" ht="12.75">
      <c r="A40" s="49"/>
      <c r="B40" s="40" t="s">
        <v>432</v>
      </c>
      <c r="C40" s="50">
        <f aca="true" t="shared" si="2" ref="C40:K40">C35-C37</f>
        <v>501</v>
      </c>
      <c r="D40" s="51">
        <f t="shared" si="2"/>
        <v>-1048</v>
      </c>
      <c r="E40" s="51">
        <f t="shared" si="2"/>
        <v>-431</v>
      </c>
      <c r="F40" s="51">
        <f t="shared" si="2"/>
        <v>-5</v>
      </c>
      <c r="G40" s="51">
        <f t="shared" si="2"/>
        <v>10</v>
      </c>
      <c r="H40" s="51">
        <f t="shared" si="2"/>
        <v>2745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>SUM(C40:K40)</f>
        <v>1772</v>
      </c>
      <c r="M40" s="51"/>
      <c r="N40" s="51"/>
      <c r="O40" s="51">
        <f>O35-O37</f>
        <v>7936.616</v>
      </c>
      <c r="P40" s="51">
        <f>P35-P37</f>
        <v>3379</v>
      </c>
    </row>
    <row r="41" spans="1:16" ht="12.75">
      <c r="A41" s="49"/>
      <c r="B41" s="4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2.75">
      <c r="A42" s="52" t="s">
        <v>30</v>
      </c>
      <c r="B42" s="40" t="s">
        <v>927</v>
      </c>
      <c r="C42" s="50">
        <f>'cpl-qtr2'!C48</f>
        <v>8681.08</v>
      </c>
      <c r="D42" s="51">
        <f>'cpl-qtr2'!D48</f>
        <v>18942</v>
      </c>
      <c r="E42" s="51">
        <f>'cpl-qtr2'!E48</f>
        <v>18790</v>
      </c>
      <c r="F42" s="51">
        <v>0</v>
      </c>
      <c r="G42" s="51">
        <f>'cpl-qtr2'!G48</f>
        <v>-25106</v>
      </c>
      <c r="H42" s="51">
        <f>'cpl-qtr2'!H48</f>
        <v>46419</v>
      </c>
      <c r="I42" s="51">
        <f>'cpl-qtr2'!I48</f>
        <v>-51</v>
      </c>
      <c r="J42" s="51">
        <f>'cpl-qtr2'!J48</f>
        <v>-399</v>
      </c>
      <c r="K42" s="51">
        <f>'cpl-qtr2'!K48</f>
        <v>926</v>
      </c>
      <c r="L42" s="51">
        <f>SUM(C42:K42)</f>
        <v>68202.08</v>
      </c>
      <c r="M42" s="51" t="s">
        <v>535</v>
      </c>
      <c r="N42" s="51"/>
      <c r="O42" s="51">
        <f>'cpl-qtr2'!O48</f>
        <v>59707</v>
      </c>
      <c r="P42" s="51">
        <f>'cpl-qtr2'!P48</f>
        <v>42166</v>
      </c>
    </row>
    <row r="43" spans="1:16" ht="12.75">
      <c r="A43" s="49"/>
      <c r="B43" s="4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9"/>
      <c r="P43" s="59"/>
    </row>
    <row r="44" spans="1:16" ht="12.75">
      <c r="A44" s="52" t="s">
        <v>35</v>
      </c>
      <c r="B44" s="40" t="s">
        <v>928</v>
      </c>
      <c r="C44" s="50">
        <f>C42+C40</f>
        <v>9182.08</v>
      </c>
      <c r="D44" s="51">
        <f>D42+D40-D43</f>
        <v>17894</v>
      </c>
      <c r="E44" s="51">
        <f>E42+E40-E43</f>
        <v>18359</v>
      </c>
      <c r="F44" s="51">
        <f>F42+F40-F43</f>
        <v>-5</v>
      </c>
      <c r="G44" s="51">
        <f>G40+G42</f>
        <v>-25096</v>
      </c>
      <c r="H44" s="51">
        <f>H42+H40</f>
        <v>49164</v>
      </c>
      <c r="I44" s="51">
        <f>I42+I40</f>
        <v>-51</v>
      </c>
      <c r="J44" s="51">
        <f>J42+J40</f>
        <v>-399</v>
      </c>
      <c r="K44" s="51">
        <f>K42+K40</f>
        <v>926</v>
      </c>
      <c r="L44" s="51">
        <f>L42+L40-L43</f>
        <v>69974.08</v>
      </c>
      <c r="M44" s="51"/>
      <c r="N44" s="51"/>
      <c r="O44" s="51">
        <f>O40+O42-O43</f>
        <v>67643.616</v>
      </c>
      <c r="P44" s="51">
        <f>P40+P42</f>
        <v>45545</v>
      </c>
    </row>
    <row r="45" spans="1:16" ht="12.75">
      <c r="A45" s="52"/>
      <c r="B45" s="40" t="s">
        <v>950</v>
      </c>
      <c r="C45" s="50">
        <v>0</v>
      </c>
      <c r="D45" s="50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f>SUM(C45:K45)</f>
        <v>0</v>
      </c>
      <c r="M45" s="51"/>
      <c r="N45" s="51"/>
      <c r="O45" s="51">
        <v>0</v>
      </c>
      <c r="P45" s="51"/>
    </row>
    <row r="46" spans="1:16" ht="12.75">
      <c r="A46" s="49"/>
      <c r="B46" s="40" t="s">
        <v>168</v>
      </c>
      <c r="C46" s="50">
        <v>0</v>
      </c>
      <c r="D46" s="51">
        <v>0</v>
      </c>
      <c r="E46" s="51">
        <v>-500</v>
      </c>
      <c r="F46" s="51">
        <v>0</v>
      </c>
      <c r="G46" s="51">
        <v>0</v>
      </c>
      <c r="H46" s="51">
        <f>-2</f>
        <v>-2</v>
      </c>
      <c r="I46" s="51">
        <v>0</v>
      </c>
      <c r="J46" s="51">
        <v>0</v>
      </c>
      <c r="K46" s="51">
        <v>0</v>
      </c>
      <c r="L46" s="51">
        <f>SUM(C46:K46)</f>
        <v>-502</v>
      </c>
      <c r="M46" s="51" t="s">
        <v>951</v>
      </c>
      <c r="N46" s="51"/>
      <c r="O46" s="51">
        <f>0.5*H46</f>
        <v>-1</v>
      </c>
      <c r="P46" s="51">
        <v>0</v>
      </c>
    </row>
    <row r="47" spans="1:16" ht="13.5" thickBot="1">
      <c r="A47" s="49"/>
      <c r="B47" s="40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 t="s">
        <v>843</v>
      </c>
      <c r="N47" s="210"/>
      <c r="O47" s="54"/>
      <c r="P47" s="54"/>
    </row>
    <row r="48" spans="1:16" ht="13.5" thickBot="1">
      <c r="A48" s="60"/>
      <c r="B48" s="36" t="s">
        <v>770</v>
      </c>
      <c r="C48" s="58">
        <f aca="true" t="shared" si="3" ref="C48:K48">C44-C46</f>
        <v>9182.08</v>
      </c>
      <c r="D48" s="58">
        <f>SUM(D44:D47)</f>
        <v>17894</v>
      </c>
      <c r="E48" s="58">
        <f>SUM(E44:E46)</f>
        <v>17859</v>
      </c>
      <c r="F48" s="58">
        <f>SUM(F44:F46)</f>
        <v>-5</v>
      </c>
      <c r="G48" s="59">
        <f t="shared" si="3"/>
        <v>-25096</v>
      </c>
      <c r="H48" s="59">
        <f>H44+H46</f>
        <v>49162</v>
      </c>
      <c r="I48" s="59">
        <f t="shared" si="3"/>
        <v>-51</v>
      </c>
      <c r="J48" s="59">
        <f t="shared" si="3"/>
        <v>-399</v>
      </c>
      <c r="K48" s="59">
        <f t="shared" si="3"/>
        <v>926</v>
      </c>
      <c r="L48" s="59">
        <f>L44+L45+L46</f>
        <v>69472.08</v>
      </c>
      <c r="M48" s="59"/>
      <c r="N48" s="140"/>
      <c r="O48" s="164">
        <f>SUM(O44:O46)</f>
        <v>67642.616</v>
      </c>
      <c r="P48" s="211">
        <f>SUM(P44:P47)</f>
        <v>45545</v>
      </c>
    </row>
    <row r="49" ht="12.75">
      <c r="B49" s="1" t="s">
        <v>640</v>
      </c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 t="s">
        <v>654</v>
      </c>
      <c r="C51" s="1"/>
      <c r="D51" s="1"/>
      <c r="E51" s="1" t="s">
        <v>642</v>
      </c>
      <c r="F51" s="1"/>
      <c r="G51" s="1"/>
      <c r="H51" s="1" t="s">
        <v>643</v>
      </c>
      <c r="I51" s="1"/>
    </row>
    <row r="52" spans="2:9" ht="12.75">
      <c r="B52" s="1" t="s">
        <v>539</v>
      </c>
      <c r="C52" s="1"/>
      <c r="D52" s="1"/>
      <c r="E52" s="1" t="s">
        <v>537</v>
      </c>
      <c r="F52" s="1"/>
      <c r="G52" s="1"/>
      <c r="H52" s="1" t="s">
        <v>538</v>
      </c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 t="s">
        <v>644</v>
      </c>
      <c r="D54" s="1"/>
      <c r="E54" s="1"/>
      <c r="F54" s="1"/>
      <c r="G54" s="1"/>
      <c r="H54" s="1"/>
      <c r="I54" s="1"/>
    </row>
    <row r="55" spans="2:9" ht="12.75">
      <c r="B55" s="1" t="s">
        <v>540</v>
      </c>
      <c r="D55" s="1"/>
      <c r="E55" s="1"/>
      <c r="F55" s="1"/>
      <c r="G55" s="1"/>
      <c r="H55" s="1"/>
      <c r="I55" s="1"/>
    </row>
    <row r="56" ht="12.75">
      <c r="B56" s="1" t="s">
        <v>541</v>
      </c>
    </row>
  </sheetData>
  <mergeCells count="1">
    <mergeCell ref="M6:N6"/>
  </mergeCells>
  <printOptions/>
  <pageMargins left="0.23" right="0.23" top="0.22" bottom="0.19" header="0.17" footer="0.17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30.8515625" style="0" customWidth="1"/>
    <col min="8" max="8" width="10.7109375" style="0" customWidth="1"/>
    <col min="15" max="15" width="10.140625" style="0" customWidth="1"/>
    <col min="16" max="16" width="10.57421875" style="0" customWidth="1"/>
  </cols>
  <sheetData>
    <row r="2" spans="1:16" ht="12.75">
      <c r="A2" s="5" t="s">
        <v>95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6" t="s">
        <v>849</v>
      </c>
    </row>
    <row r="3" spans="1:16" ht="12.75">
      <c r="A3" s="5" t="s">
        <v>776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</row>
    <row r="4" spans="1:16" ht="12.75">
      <c r="A4" s="1" t="s">
        <v>408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3"/>
      <c r="B6" s="33"/>
      <c r="C6" s="34" t="s">
        <v>96</v>
      </c>
      <c r="D6" s="390" t="s">
        <v>97</v>
      </c>
      <c r="E6" s="390" t="s">
        <v>98</v>
      </c>
      <c r="F6" s="390" t="s">
        <v>877</v>
      </c>
      <c r="G6" s="390" t="s">
        <v>100</v>
      </c>
      <c r="H6" s="390" t="s">
        <v>101</v>
      </c>
      <c r="I6" s="390" t="s">
        <v>102</v>
      </c>
      <c r="J6" s="389" t="s">
        <v>103</v>
      </c>
      <c r="K6" s="389" t="s">
        <v>104</v>
      </c>
      <c r="L6" s="34" t="s">
        <v>105</v>
      </c>
      <c r="M6" s="601" t="s">
        <v>106</v>
      </c>
      <c r="N6" s="602"/>
      <c r="O6" s="34">
        <v>2001</v>
      </c>
      <c r="P6" s="35">
        <v>2000</v>
      </c>
    </row>
    <row r="7" spans="1:16" ht="12.75">
      <c r="A7" s="36"/>
      <c r="B7" s="36"/>
      <c r="C7" s="37" t="s">
        <v>107</v>
      </c>
      <c r="D7" s="392"/>
      <c r="E7" s="392" t="s">
        <v>108</v>
      </c>
      <c r="F7" s="392" t="s">
        <v>878</v>
      </c>
      <c r="G7" s="392" t="s">
        <v>110</v>
      </c>
      <c r="H7" s="393"/>
      <c r="I7" s="393"/>
      <c r="J7" s="391" t="s">
        <v>111</v>
      </c>
      <c r="K7" s="391"/>
      <c r="L7" s="37"/>
      <c r="M7" s="38"/>
      <c r="N7" s="37"/>
      <c r="O7" s="37" t="s">
        <v>476</v>
      </c>
      <c r="P7" s="38" t="s">
        <v>476</v>
      </c>
    </row>
    <row r="8" spans="1:16" ht="12.75">
      <c r="A8" s="40"/>
      <c r="B8" s="40"/>
      <c r="C8" s="41"/>
      <c r="D8" s="42">
        <v>1</v>
      </c>
      <c r="E8" s="42">
        <v>1</v>
      </c>
      <c r="F8" s="42">
        <v>1</v>
      </c>
      <c r="G8" s="43">
        <f>1-0.3884</f>
        <v>0.6115999999999999</v>
      </c>
      <c r="H8" s="40" t="s">
        <v>112</v>
      </c>
      <c r="I8" s="42">
        <v>1</v>
      </c>
      <c r="J8" s="44">
        <v>0.51</v>
      </c>
      <c r="K8" s="44">
        <v>1</v>
      </c>
      <c r="L8" s="44"/>
      <c r="M8" s="45" t="s">
        <v>113</v>
      </c>
      <c r="N8" s="46" t="s">
        <v>114</v>
      </c>
      <c r="O8" s="105"/>
      <c r="P8" s="106"/>
    </row>
    <row r="9" spans="1:16" ht="12.75">
      <c r="A9" s="33"/>
      <c r="B9" s="33"/>
      <c r="C9" s="48"/>
      <c r="D9" s="33"/>
      <c r="E9" s="33"/>
      <c r="F9" s="33"/>
      <c r="G9" s="33"/>
      <c r="H9" s="33"/>
      <c r="I9" s="33"/>
      <c r="J9" s="33"/>
      <c r="K9" s="33"/>
      <c r="L9" s="33"/>
      <c r="M9" s="33"/>
      <c r="N9" s="104"/>
      <c r="O9" s="33"/>
      <c r="P9" s="48"/>
    </row>
    <row r="10" spans="1:16" ht="13.5" thickBot="1">
      <c r="A10" s="49" t="s">
        <v>409</v>
      </c>
      <c r="B10" s="40" t="s">
        <v>752</v>
      </c>
      <c r="C10" s="50">
        <v>1568</v>
      </c>
      <c r="D10" s="51">
        <v>16372</v>
      </c>
      <c r="E10" s="51">
        <v>29540</v>
      </c>
      <c r="F10" s="51">
        <v>0</v>
      </c>
      <c r="G10" s="51">
        <v>5184</v>
      </c>
      <c r="H10" s="51">
        <v>9384</v>
      </c>
      <c r="I10" s="51">
        <v>0</v>
      </c>
      <c r="J10" s="51">
        <v>0</v>
      </c>
      <c r="K10" s="51">
        <v>0</v>
      </c>
      <c r="L10" s="51">
        <f>SUM(C10:K10)</f>
        <v>62048</v>
      </c>
      <c r="M10" s="51">
        <v>700</v>
      </c>
      <c r="N10" s="51"/>
      <c r="O10" s="54">
        <f>L10-M10-M11</f>
        <v>61050</v>
      </c>
      <c r="P10" s="115">
        <v>50524</v>
      </c>
    </row>
    <row r="11" spans="1:16" ht="12.75">
      <c r="A11" s="52"/>
      <c r="B11" s="4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3">
        <v>298</v>
      </c>
      <c r="N11" s="51"/>
      <c r="O11" s="51"/>
      <c r="P11" s="51"/>
    </row>
    <row r="12" spans="1:16" ht="13.5" thickBot="1">
      <c r="A12" s="52" t="s">
        <v>402</v>
      </c>
      <c r="B12" s="40" t="s">
        <v>433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f>SUM(C12:K12)</f>
        <v>0</v>
      </c>
      <c r="M12" s="51"/>
      <c r="N12" s="51"/>
      <c r="O12" s="54">
        <f>L12</f>
        <v>0</v>
      </c>
      <c r="P12" s="115">
        <v>0</v>
      </c>
    </row>
    <row r="13" spans="1:16" ht="12.75">
      <c r="A13" s="52"/>
      <c r="B13" s="40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3.5" thickBot="1">
      <c r="A14" s="49" t="s">
        <v>411</v>
      </c>
      <c r="B14" s="40" t="s">
        <v>410</v>
      </c>
      <c r="C14" s="50">
        <v>311</v>
      </c>
      <c r="D14" s="51">
        <v>14</v>
      </c>
      <c r="E14" s="51">
        <v>83</v>
      </c>
      <c r="F14" s="51">
        <v>30</v>
      </c>
      <c r="G14" s="51">
        <v>8</v>
      </c>
      <c r="H14" s="51">
        <f>-369+369</f>
        <v>0</v>
      </c>
      <c r="I14" s="51">
        <v>0</v>
      </c>
      <c r="J14" s="51">
        <v>0</v>
      </c>
      <c r="K14" s="51">
        <v>50</v>
      </c>
      <c r="L14" s="51">
        <f>SUM(C14:K14)</f>
        <v>496</v>
      </c>
      <c r="M14" s="51">
        <f>381-205</f>
        <v>176</v>
      </c>
      <c r="N14" s="51"/>
      <c r="O14" s="54">
        <f>L14-M14+N14</f>
        <v>320</v>
      </c>
      <c r="P14" s="115">
        <v>428</v>
      </c>
    </row>
    <row r="15" spans="1:16" ht="12.75">
      <c r="A15" s="52"/>
      <c r="B15" s="4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2.75">
      <c r="A16" s="49" t="s">
        <v>412</v>
      </c>
      <c r="B16" s="40" t="s">
        <v>415</v>
      </c>
      <c r="C16" s="50">
        <v>695</v>
      </c>
      <c r="D16" s="51">
        <v>6546</v>
      </c>
      <c r="E16" s="51">
        <v>4321</v>
      </c>
      <c r="F16" s="51">
        <v>12</v>
      </c>
      <c r="G16" s="51">
        <v>529</v>
      </c>
      <c r="H16" s="51">
        <v>4271</v>
      </c>
      <c r="I16" s="51">
        <v>-32</v>
      </c>
      <c r="J16" s="51">
        <v>-340</v>
      </c>
      <c r="K16" s="51">
        <v>31</v>
      </c>
      <c r="L16" s="51">
        <f>SUM(C16:K16)</f>
        <v>16033</v>
      </c>
      <c r="M16" s="51">
        <f>381-205</f>
        <v>176</v>
      </c>
      <c r="N16" s="51">
        <v>11</v>
      </c>
      <c r="O16" s="51">
        <f>L16-M16-M17-N17-N16</f>
        <v>15480</v>
      </c>
      <c r="P16" s="94">
        <v>6643</v>
      </c>
    </row>
    <row r="17" spans="1:16" ht="12.75">
      <c r="A17" s="52"/>
      <c r="B17" s="40" t="s">
        <v>906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3">
        <v>700</v>
      </c>
      <c r="N17" s="51">
        <v>-334</v>
      </c>
      <c r="O17" s="51"/>
      <c r="P17" s="51"/>
    </row>
    <row r="18" spans="1:16" ht="12.75">
      <c r="A18" s="52" t="s">
        <v>402</v>
      </c>
      <c r="B18" s="40" t="s">
        <v>1080</v>
      </c>
      <c r="C18" s="50">
        <v>277</v>
      </c>
      <c r="D18" s="51">
        <v>240</v>
      </c>
      <c r="E18" s="51">
        <v>155</v>
      </c>
      <c r="F18" s="51">
        <v>0</v>
      </c>
      <c r="G18" s="51">
        <v>194</v>
      </c>
      <c r="H18" s="51">
        <v>18</v>
      </c>
      <c r="I18" s="51">
        <v>0</v>
      </c>
      <c r="J18" s="51">
        <v>0</v>
      </c>
      <c r="K18" s="51">
        <v>0</v>
      </c>
      <c r="L18" s="51">
        <f>SUM(C18:K18)</f>
        <v>884</v>
      </c>
      <c r="M18" s="53"/>
      <c r="N18" s="51">
        <f>381-205</f>
        <v>176</v>
      </c>
      <c r="O18" s="51">
        <f>L18-N18</f>
        <v>708</v>
      </c>
      <c r="P18" s="94">
        <v>1317</v>
      </c>
    </row>
    <row r="19" spans="1:16" ht="12.75">
      <c r="A19" s="52"/>
      <c r="B19" s="4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3"/>
      <c r="N19" s="51"/>
      <c r="O19" s="51"/>
      <c r="P19" s="51"/>
    </row>
    <row r="20" spans="1:16" ht="12.75">
      <c r="A20" s="49" t="s">
        <v>411</v>
      </c>
      <c r="B20" s="40" t="s">
        <v>836</v>
      </c>
      <c r="C20" s="50">
        <v>53</v>
      </c>
      <c r="D20" s="51">
        <v>87</v>
      </c>
      <c r="E20" s="51">
        <v>578</v>
      </c>
      <c r="F20" s="51">
        <v>0</v>
      </c>
      <c r="G20" s="51">
        <v>280</v>
      </c>
      <c r="H20" s="51">
        <v>292</v>
      </c>
      <c r="I20" s="51">
        <v>0</v>
      </c>
      <c r="J20" s="51">
        <v>0</v>
      </c>
      <c r="K20" s="51">
        <v>0</v>
      </c>
      <c r="L20" s="51">
        <f>SUM(C20:K20)</f>
        <v>1290</v>
      </c>
      <c r="M20" s="53">
        <v>542</v>
      </c>
      <c r="N20" s="51"/>
      <c r="O20" s="51">
        <f>L20+M20</f>
        <v>1832</v>
      </c>
      <c r="P20" s="94">
        <v>2414</v>
      </c>
    </row>
    <row r="21" spans="1:16" ht="12.75">
      <c r="A21" s="52"/>
      <c r="B21" s="40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3" t="s">
        <v>837</v>
      </c>
      <c r="N21" s="51"/>
      <c r="O21" s="51"/>
      <c r="P21" s="51"/>
    </row>
    <row r="22" spans="1:16" ht="12.75">
      <c r="A22" s="52" t="s">
        <v>413</v>
      </c>
      <c r="B22" s="40" t="s">
        <v>1084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f>SUM(C22:K22)</f>
        <v>0</v>
      </c>
      <c r="M22" s="51"/>
      <c r="N22" s="51"/>
      <c r="O22" s="51">
        <f>L22</f>
        <v>0</v>
      </c>
      <c r="P22" s="94">
        <v>0</v>
      </c>
    </row>
    <row r="23" spans="1:16" ht="12.75">
      <c r="A23" s="49"/>
      <c r="B23" s="4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9"/>
      <c r="P23" s="59"/>
    </row>
    <row r="24" spans="1:16" ht="12.75">
      <c r="A24" s="52" t="s">
        <v>414</v>
      </c>
      <c r="B24" s="40" t="s">
        <v>416</v>
      </c>
      <c r="C24" s="50">
        <f>C16-C18-C20-C22</f>
        <v>365</v>
      </c>
      <c r="D24" s="50">
        <f>D16-D18-D20-D22</f>
        <v>6219</v>
      </c>
      <c r="E24" s="51">
        <f aca="true" t="shared" si="0" ref="E24:K24">E16-E18-E20-E22</f>
        <v>3588</v>
      </c>
      <c r="F24" s="51">
        <f t="shared" si="0"/>
        <v>12</v>
      </c>
      <c r="G24" s="51">
        <f t="shared" si="0"/>
        <v>55</v>
      </c>
      <c r="H24" s="51">
        <f t="shared" si="0"/>
        <v>3961</v>
      </c>
      <c r="I24" s="51">
        <f t="shared" si="0"/>
        <v>-32</v>
      </c>
      <c r="J24" s="51">
        <f t="shared" si="0"/>
        <v>-340</v>
      </c>
      <c r="K24" s="51">
        <f t="shared" si="0"/>
        <v>31</v>
      </c>
      <c r="L24" s="51">
        <f>SUM(C24:K24)</f>
        <v>13859</v>
      </c>
      <c r="M24" s="51"/>
      <c r="N24" s="51"/>
      <c r="O24" s="51">
        <f>O16-O18-O20-O22</f>
        <v>12940</v>
      </c>
      <c r="P24" s="51">
        <f>P16-P18-P20-P22</f>
        <v>2912</v>
      </c>
    </row>
    <row r="25" spans="1:16" ht="12.75">
      <c r="A25" s="52"/>
      <c r="B25" s="4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75">
      <c r="A26" s="52" t="s">
        <v>0</v>
      </c>
      <c r="B26" s="40" t="s">
        <v>417</v>
      </c>
      <c r="C26" s="50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f>SUM(C26:K26)</f>
        <v>0</v>
      </c>
      <c r="M26" s="51">
        <v>53</v>
      </c>
      <c r="N26" s="51"/>
      <c r="O26" s="51">
        <f>-M26</f>
        <v>-53</v>
      </c>
      <c r="P26" s="94">
        <v>-226</v>
      </c>
    </row>
    <row r="27" spans="1:16" ht="12.75">
      <c r="A27" s="52"/>
      <c r="B27" s="40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9"/>
      <c r="P27" s="59"/>
    </row>
    <row r="28" spans="1:16" ht="12.75">
      <c r="A28" s="52" t="s">
        <v>3</v>
      </c>
      <c r="B28" s="40" t="s">
        <v>418</v>
      </c>
      <c r="C28" s="50">
        <f>C24+C26</f>
        <v>365</v>
      </c>
      <c r="D28" s="51">
        <f>D24+D26</f>
        <v>6219</v>
      </c>
      <c r="E28" s="51">
        <f aca="true" t="shared" si="1" ref="E28:K28">SUM(E24:E27)</f>
        <v>3588</v>
      </c>
      <c r="F28" s="51">
        <f t="shared" si="1"/>
        <v>12</v>
      </c>
      <c r="G28" s="51">
        <f t="shared" si="1"/>
        <v>55</v>
      </c>
      <c r="H28" s="51">
        <f t="shared" si="1"/>
        <v>3961</v>
      </c>
      <c r="I28" s="51">
        <f t="shared" si="1"/>
        <v>-32</v>
      </c>
      <c r="J28" s="51">
        <f t="shared" si="1"/>
        <v>-340</v>
      </c>
      <c r="K28" s="51">
        <f t="shared" si="1"/>
        <v>31</v>
      </c>
      <c r="L28" s="51">
        <f>SUM(C28:K28)</f>
        <v>13859</v>
      </c>
      <c r="M28" s="51"/>
      <c r="N28" s="51"/>
      <c r="O28" s="51">
        <f>O24+O26</f>
        <v>12887</v>
      </c>
      <c r="P28" s="51">
        <f>P24+P26</f>
        <v>2686</v>
      </c>
    </row>
    <row r="29" spans="1:16" ht="12.75">
      <c r="A29" s="52"/>
      <c r="B29" s="40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2.75">
      <c r="A30" s="52"/>
      <c r="B30" s="40" t="s">
        <v>879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1">
        <f>SUM(C30:K30)</f>
        <v>0</v>
      </c>
      <c r="M30" s="51"/>
      <c r="N30" s="51"/>
      <c r="O30" s="59">
        <v>0</v>
      </c>
      <c r="P30" s="51">
        <v>0</v>
      </c>
    </row>
    <row r="31" spans="1:16" ht="12.75">
      <c r="A31" s="52"/>
      <c r="B31" s="40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>
        <f>SUM(O28:O30)</f>
        <v>12887</v>
      </c>
      <c r="P31" s="51">
        <f>P28+P30</f>
        <v>2686</v>
      </c>
    </row>
    <row r="32" spans="1:16" ht="12.75">
      <c r="A32" s="52" t="s">
        <v>6</v>
      </c>
      <c r="B32" s="40" t="s">
        <v>7</v>
      </c>
      <c r="C32" s="50">
        <v>360</v>
      </c>
      <c r="D32" s="51">
        <v>1884</v>
      </c>
      <c r="E32" s="51">
        <v>207</v>
      </c>
      <c r="F32" s="51">
        <v>2</v>
      </c>
      <c r="G32" s="51">
        <v>0</v>
      </c>
      <c r="H32" s="51">
        <v>1585</v>
      </c>
      <c r="I32" s="51">
        <v>0</v>
      </c>
      <c r="J32" s="51">
        <v>0</v>
      </c>
      <c r="K32" s="51">
        <v>8</v>
      </c>
      <c r="L32" s="51">
        <f>SUM(C32:K32)</f>
        <v>4046</v>
      </c>
      <c r="M32" s="51"/>
      <c r="N32" s="51">
        <v>364</v>
      </c>
      <c r="O32" s="51">
        <f>L32-N32</f>
        <v>3682</v>
      </c>
      <c r="P32" s="94">
        <v>2863</v>
      </c>
    </row>
    <row r="33" spans="1:16" ht="12.75">
      <c r="A33" s="52"/>
      <c r="B33" s="4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9"/>
      <c r="P33" s="59"/>
    </row>
    <row r="34" spans="1:16" ht="12.75">
      <c r="A34" s="49" t="s">
        <v>419</v>
      </c>
      <c r="B34" s="40" t="s">
        <v>420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2.75">
      <c r="A35" s="49"/>
      <c r="B35" s="40" t="s">
        <v>421</v>
      </c>
      <c r="C35" s="50">
        <f>C28-C32</f>
        <v>5</v>
      </c>
      <c r="D35" s="51">
        <f>D28-D32</f>
        <v>4335</v>
      </c>
      <c r="E35" s="51">
        <f>E28-E32</f>
        <v>3381</v>
      </c>
      <c r="F35" s="51">
        <f>F28-F32</f>
        <v>10</v>
      </c>
      <c r="G35" s="51">
        <f>SUM(G28:G34)</f>
        <v>55</v>
      </c>
      <c r="H35" s="51">
        <f>H28-H32</f>
        <v>2376</v>
      </c>
      <c r="I35" s="51">
        <f>I28-I32</f>
        <v>-32</v>
      </c>
      <c r="J35" s="51">
        <f>J28-J32</f>
        <v>-340</v>
      </c>
      <c r="K35" s="51">
        <f>K28-K32</f>
        <v>23</v>
      </c>
      <c r="L35" s="51">
        <f>SUM(C35:K35)</f>
        <v>9813</v>
      </c>
      <c r="M35" s="51">
        <v>0</v>
      </c>
      <c r="N35" s="51">
        <v>0</v>
      </c>
      <c r="O35" s="51">
        <f>O31-O32</f>
        <v>9205</v>
      </c>
      <c r="P35" s="51">
        <f>P28-P30-P32</f>
        <v>-177</v>
      </c>
    </row>
    <row r="36" spans="1:16" ht="12.75">
      <c r="A36" s="49"/>
      <c r="B36" s="40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ht="12.75">
      <c r="A37" s="49"/>
      <c r="B37" s="40" t="s">
        <v>426</v>
      </c>
      <c r="C37" s="50">
        <v>0</v>
      </c>
      <c r="D37" s="51">
        <v>0</v>
      </c>
      <c r="E37" s="51">
        <v>14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f>SUM(C37:K37)</f>
        <v>14</v>
      </c>
      <c r="M37" s="51">
        <v>1041</v>
      </c>
      <c r="N37" s="1">
        <v>9</v>
      </c>
      <c r="O37" s="51">
        <f>L37+M37+M38-N37</f>
        <v>1046</v>
      </c>
      <c r="P37" s="94">
        <v>1732</v>
      </c>
    </row>
    <row r="38" spans="1:16" ht="12.75">
      <c r="A38" s="49"/>
      <c r="B38" s="40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2.75">
      <c r="A39" s="52" t="s">
        <v>27</v>
      </c>
      <c r="B39" s="40" t="s">
        <v>28</v>
      </c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9"/>
      <c r="P39" s="59"/>
    </row>
    <row r="40" spans="1:16" ht="12.75">
      <c r="A40" s="49"/>
      <c r="B40" s="40" t="s">
        <v>432</v>
      </c>
      <c r="C40" s="50">
        <f aca="true" t="shared" si="2" ref="C40:K40">C35-C37</f>
        <v>5</v>
      </c>
      <c r="D40" s="51">
        <f t="shared" si="2"/>
        <v>4335</v>
      </c>
      <c r="E40" s="51">
        <f t="shared" si="2"/>
        <v>3367</v>
      </c>
      <c r="F40" s="51">
        <f t="shared" si="2"/>
        <v>10</v>
      </c>
      <c r="G40" s="51">
        <f t="shared" si="2"/>
        <v>55</v>
      </c>
      <c r="H40" s="51">
        <f t="shared" si="2"/>
        <v>2376</v>
      </c>
      <c r="I40" s="51">
        <f t="shared" si="2"/>
        <v>-32</v>
      </c>
      <c r="J40" s="51">
        <f t="shared" si="2"/>
        <v>-340</v>
      </c>
      <c r="K40" s="51">
        <f t="shared" si="2"/>
        <v>23</v>
      </c>
      <c r="L40" s="51">
        <f>SUM(C40:K40)</f>
        <v>9799</v>
      </c>
      <c r="M40" s="51"/>
      <c r="N40" s="51"/>
      <c r="O40" s="51">
        <f>O35-O37</f>
        <v>8159</v>
      </c>
      <c r="P40" s="51">
        <f>P35-P37</f>
        <v>-1909</v>
      </c>
    </row>
    <row r="41" spans="1:16" ht="12.75">
      <c r="A41" s="49"/>
      <c r="B41" s="4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2.75">
      <c r="A42" s="52" t="s">
        <v>30</v>
      </c>
      <c r="B42" s="40" t="s">
        <v>911</v>
      </c>
      <c r="C42" s="50">
        <f>'cpl-qtr3'!C48</f>
        <v>9182.08</v>
      </c>
      <c r="D42" s="51">
        <f>'cpl-qtr3'!D48</f>
        <v>17894</v>
      </c>
      <c r="E42" s="51">
        <f>'cpl-qtr3'!E44</f>
        <v>18359</v>
      </c>
      <c r="F42" s="51">
        <v>-5</v>
      </c>
      <c r="G42" s="51">
        <f>'cpl-qtr3'!G48+1</f>
        <v>-25095</v>
      </c>
      <c r="H42" s="51">
        <f>'cpl-qtr3'!H48</f>
        <v>49162</v>
      </c>
      <c r="I42" s="51">
        <f>'cpl-qtr3'!I48</f>
        <v>-51</v>
      </c>
      <c r="J42" s="51">
        <f>'cpl-qtr2'!J48</f>
        <v>-399</v>
      </c>
      <c r="K42" s="51">
        <f>'cpl-qtr3'!K48</f>
        <v>926</v>
      </c>
      <c r="L42" s="51">
        <f>SUM(C42:K42)</f>
        <v>69973.08</v>
      </c>
      <c r="M42" s="51" t="s">
        <v>585</v>
      </c>
      <c r="N42" s="51"/>
      <c r="O42" s="51">
        <f>'cpl-qtr3'!O48</f>
        <v>67642.616</v>
      </c>
      <c r="P42" s="51">
        <f>'cpl-qtr3'!P48</f>
        <v>45545</v>
      </c>
    </row>
    <row r="43" spans="1:16" ht="12.75">
      <c r="A43" s="49"/>
      <c r="B43" s="4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9"/>
      <c r="P43" s="59"/>
    </row>
    <row r="44" spans="1:16" ht="12.75">
      <c r="A44" s="52" t="s">
        <v>35</v>
      </c>
      <c r="B44" s="40" t="s">
        <v>928</v>
      </c>
      <c r="C44" s="50">
        <f>C42+C40</f>
        <v>9187.08</v>
      </c>
      <c r="D44" s="51">
        <f>D42+D40-D43</f>
        <v>22229</v>
      </c>
      <c r="E44" s="51">
        <f>E42+E40-E43</f>
        <v>21726</v>
      </c>
      <c r="F44" s="51">
        <f>F42+F40-F43</f>
        <v>5</v>
      </c>
      <c r="G44" s="51">
        <f>G40+G42</f>
        <v>-25040</v>
      </c>
      <c r="H44" s="51">
        <f>H42+H40</f>
        <v>51538</v>
      </c>
      <c r="I44" s="51">
        <f>I42+I40</f>
        <v>-83</v>
      </c>
      <c r="J44" s="51">
        <f>J42+J40</f>
        <v>-739</v>
      </c>
      <c r="K44" s="51">
        <f>K42+K40</f>
        <v>949</v>
      </c>
      <c r="L44" s="51">
        <f>L42+L40-L43</f>
        <v>79772.08</v>
      </c>
      <c r="M44" s="51"/>
      <c r="N44" s="51"/>
      <c r="O44" s="51">
        <f>O40+O42-O43</f>
        <v>75801.616</v>
      </c>
      <c r="P44" s="51">
        <f>P40+P42</f>
        <v>43636</v>
      </c>
    </row>
    <row r="45" spans="1:16" ht="12.75">
      <c r="A45" s="52"/>
      <c r="B45" s="40" t="s">
        <v>950</v>
      </c>
      <c r="C45" s="50">
        <v>0</v>
      </c>
      <c r="D45" s="50">
        <v>0</v>
      </c>
      <c r="E45" s="51">
        <v>-23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f>SUM(C45:K45)</f>
        <v>-23</v>
      </c>
      <c r="M45" s="51" t="s">
        <v>586</v>
      </c>
      <c r="N45" s="51">
        <v>-1</v>
      </c>
      <c r="O45" s="51">
        <f>SUM(L45:N45)</f>
        <v>-24</v>
      </c>
      <c r="P45" s="51"/>
    </row>
    <row r="46" spans="1:16" ht="12.75">
      <c r="A46" s="49"/>
      <c r="B46" s="40" t="s">
        <v>168</v>
      </c>
      <c r="C46" s="50">
        <v>0</v>
      </c>
      <c r="D46" s="51">
        <v>-504</v>
      </c>
      <c r="E46" s="51">
        <v>-500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f>SUM(C46:K46)</f>
        <v>-1004</v>
      </c>
      <c r="M46" s="51"/>
      <c r="N46" s="51">
        <v>-1004</v>
      </c>
      <c r="O46" s="51">
        <f>0.5*H46</f>
        <v>0</v>
      </c>
      <c r="P46" s="51">
        <v>-1008</v>
      </c>
    </row>
    <row r="47" spans="1:16" ht="13.5" thickBot="1">
      <c r="A47" s="49"/>
      <c r="B47" s="40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210"/>
      <c r="O47" s="54"/>
      <c r="P47" s="54"/>
    </row>
    <row r="48" spans="1:16" ht="13.5" thickBot="1">
      <c r="A48" s="60"/>
      <c r="B48" s="36" t="s">
        <v>770</v>
      </c>
      <c r="C48" s="58">
        <f>SUM(C44:C47)</f>
        <v>9187.08</v>
      </c>
      <c r="D48" s="58">
        <f>SUM(D44:D47)</f>
        <v>21725</v>
      </c>
      <c r="E48" s="58">
        <f>SUM(E44:E46)</f>
        <v>21203</v>
      </c>
      <c r="F48" s="58">
        <f>SUM(F44:F46)</f>
        <v>5</v>
      </c>
      <c r="G48" s="59">
        <f>G44-G46</f>
        <v>-25040</v>
      </c>
      <c r="H48" s="59">
        <f>H44+H46</f>
        <v>51538</v>
      </c>
      <c r="I48" s="59">
        <f>I44-I46</f>
        <v>-83</v>
      </c>
      <c r="J48" s="59">
        <f>J44-J46</f>
        <v>-739</v>
      </c>
      <c r="K48" s="59">
        <f>K44-K46</f>
        <v>949</v>
      </c>
      <c r="L48" s="59">
        <f>L44+L45+L46</f>
        <v>78745.08</v>
      </c>
      <c r="M48" s="59"/>
      <c r="N48" s="140"/>
      <c r="O48" s="164">
        <f>SUM(O44:O46)</f>
        <v>75777.616</v>
      </c>
      <c r="P48" s="211">
        <f>SUM(P44:P47)</f>
        <v>42628</v>
      </c>
    </row>
    <row r="49" ht="12.75">
      <c r="B49" s="1" t="s">
        <v>640</v>
      </c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 t="s">
        <v>654</v>
      </c>
      <c r="C51" s="1"/>
      <c r="D51" s="1"/>
      <c r="E51" s="1" t="s">
        <v>642</v>
      </c>
      <c r="F51" s="1"/>
      <c r="G51" s="1"/>
      <c r="H51" s="1" t="s">
        <v>643</v>
      </c>
      <c r="I51" s="1"/>
    </row>
    <row r="52" spans="2:9" ht="12.75">
      <c r="B52" s="1" t="s">
        <v>539</v>
      </c>
      <c r="C52" s="1"/>
      <c r="D52" s="1"/>
      <c r="E52" s="1" t="s">
        <v>537</v>
      </c>
      <c r="F52" s="1"/>
      <c r="G52" s="1"/>
      <c r="H52" s="1" t="s">
        <v>538</v>
      </c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 t="s">
        <v>644</v>
      </c>
      <c r="D54" s="1"/>
      <c r="E54" s="1"/>
      <c r="F54" s="1"/>
      <c r="G54" s="1"/>
      <c r="H54" s="1"/>
      <c r="I54" s="1"/>
    </row>
    <row r="55" spans="2:9" ht="12.75">
      <c r="B55" s="1" t="s">
        <v>540</v>
      </c>
      <c r="D55" s="1"/>
      <c r="E55" s="1"/>
      <c r="F55" s="1"/>
      <c r="G55" s="1"/>
      <c r="H55" s="1"/>
      <c r="I55" s="1"/>
    </row>
    <row r="56" ht="12.75">
      <c r="B56" s="1" t="s">
        <v>587</v>
      </c>
    </row>
  </sheetData>
  <mergeCells count="1">
    <mergeCell ref="M6:N6"/>
  </mergeCells>
  <printOptions/>
  <pageMargins left="0.2" right="0.21" top="0.18" bottom="0.19" header="0.17" footer="0.17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24">
      <pane xSplit="2" topLeftCell="K1" activePane="topRight" state="frozen"/>
      <selection pane="topLeft" activeCell="A1" sqref="A1"/>
      <selection pane="topRight" activeCell="O20" sqref="O20"/>
    </sheetView>
  </sheetViews>
  <sheetFormatPr defaultColWidth="9.140625" defaultRowHeight="12.75"/>
  <cols>
    <col min="1" max="1" width="3.7109375" style="0" customWidth="1"/>
    <col min="2" max="2" width="24.28125" style="0" customWidth="1"/>
    <col min="3" max="3" width="9.00390625" style="0" customWidth="1"/>
    <col min="4" max="4" width="8.7109375" style="0" customWidth="1"/>
    <col min="5" max="5" width="9.7109375" style="0" customWidth="1"/>
    <col min="6" max="6" width="10.28125" style="0" customWidth="1"/>
    <col min="7" max="7" width="11.00390625" style="0" customWidth="1"/>
    <col min="8" max="8" width="9.7109375" style="0" customWidth="1"/>
    <col min="9" max="9" width="8.7109375" style="0" customWidth="1"/>
    <col min="10" max="10" width="8.57421875" style="0" customWidth="1"/>
    <col min="11" max="11" width="8.421875" style="0" customWidth="1"/>
    <col min="12" max="12" width="10.421875" style="0" customWidth="1"/>
    <col min="13" max="13" width="9.421875" style="0" customWidth="1"/>
    <col min="14" max="14" width="8.421875" style="0" customWidth="1"/>
    <col min="15" max="15" width="9.8515625" style="0" customWidth="1"/>
  </cols>
  <sheetData>
    <row r="1" spans="1:15" ht="12.75">
      <c r="A1" s="5" t="s">
        <v>973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5" t="s">
        <v>935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408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2.75">
      <c r="A4" s="33"/>
      <c r="B4" s="33"/>
      <c r="C4" s="528" t="s">
        <v>96</v>
      </c>
      <c r="D4" s="526" t="s">
        <v>97</v>
      </c>
      <c r="E4" s="526" t="s">
        <v>98</v>
      </c>
      <c r="F4" s="526" t="s">
        <v>524</v>
      </c>
      <c r="G4" s="526" t="s">
        <v>100</v>
      </c>
      <c r="H4" s="526" t="s">
        <v>101</v>
      </c>
      <c r="I4" s="526" t="s">
        <v>102</v>
      </c>
      <c r="J4" s="528" t="s">
        <v>103</v>
      </c>
      <c r="K4" s="528" t="s">
        <v>104</v>
      </c>
      <c r="L4" s="34" t="s">
        <v>105</v>
      </c>
      <c r="M4" s="601" t="s">
        <v>106</v>
      </c>
      <c r="N4" s="602"/>
      <c r="O4" s="34">
        <v>2002</v>
      </c>
      <c r="P4" s="526">
        <v>2001</v>
      </c>
    </row>
    <row r="5" spans="1:16" ht="12.75">
      <c r="A5" s="36"/>
      <c r="B5" s="36"/>
      <c r="C5" s="37" t="s">
        <v>107</v>
      </c>
      <c r="D5" s="392"/>
      <c r="E5" s="392" t="s">
        <v>108</v>
      </c>
      <c r="F5" s="527"/>
      <c r="G5" s="527" t="s">
        <v>110</v>
      </c>
      <c r="H5" s="393"/>
      <c r="I5" s="393"/>
      <c r="J5" s="391" t="s">
        <v>111</v>
      </c>
      <c r="K5" s="391"/>
      <c r="L5" s="37"/>
      <c r="M5" s="38"/>
      <c r="N5" s="37"/>
      <c r="O5" s="37" t="s">
        <v>105</v>
      </c>
      <c r="P5" s="527" t="s">
        <v>105</v>
      </c>
    </row>
    <row r="6" spans="1:16" ht="12.75">
      <c r="A6" s="40"/>
      <c r="B6" s="40"/>
      <c r="C6" s="41"/>
      <c r="D6" s="42">
        <v>1</v>
      </c>
      <c r="E6" s="42">
        <v>1</v>
      </c>
      <c r="F6" s="42">
        <v>1</v>
      </c>
      <c r="G6" s="43">
        <f>1-0.3884</f>
        <v>0.6115999999999999</v>
      </c>
      <c r="H6" s="40" t="s">
        <v>112</v>
      </c>
      <c r="I6" s="42">
        <v>1</v>
      </c>
      <c r="J6" s="44">
        <v>0.51</v>
      </c>
      <c r="K6" s="44">
        <v>1</v>
      </c>
      <c r="L6" s="44"/>
      <c r="M6" s="45" t="s">
        <v>113</v>
      </c>
      <c r="N6" s="46" t="s">
        <v>114</v>
      </c>
      <c r="O6" s="106" t="s">
        <v>936</v>
      </c>
      <c r="P6" s="106" t="s">
        <v>936</v>
      </c>
    </row>
    <row r="7" spans="1:16" ht="12.75">
      <c r="A7" s="33"/>
      <c r="B7" s="33"/>
      <c r="C7" s="48"/>
      <c r="D7" s="33"/>
      <c r="E7" s="33"/>
      <c r="F7" s="33"/>
      <c r="G7" s="33"/>
      <c r="H7" s="33"/>
      <c r="I7" s="33"/>
      <c r="J7" s="33"/>
      <c r="K7" s="33"/>
      <c r="L7" s="33"/>
      <c r="M7" s="33"/>
      <c r="N7" s="104"/>
      <c r="O7" s="33"/>
      <c r="P7" s="40"/>
    </row>
    <row r="8" spans="1:16" ht="13.5" thickBot="1">
      <c r="A8" s="49" t="s">
        <v>409</v>
      </c>
      <c r="B8" s="40" t="s">
        <v>752</v>
      </c>
      <c r="C8" s="366">
        <v>1087</v>
      </c>
      <c r="D8" s="367">
        <v>26185</v>
      </c>
      <c r="E8" s="367">
        <v>50578</v>
      </c>
      <c r="F8" s="367">
        <v>0</v>
      </c>
      <c r="G8" s="367">
        <v>7778</v>
      </c>
      <c r="H8" s="367">
        <v>17530</v>
      </c>
      <c r="I8" s="367">
        <v>0</v>
      </c>
      <c r="J8" s="367">
        <v>0</v>
      </c>
      <c r="K8" s="367">
        <v>0</v>
      </c>
      <c r="L8" s="367">
        <f>SUM(C8:K8)</f>
        <v>103158</v>
      </c>
      <c r="M8" s="367">
        <v>0</v>
      </c>
      <c r="N8" s="367"/>
      <c r="O8" s="368">
        <f>L8-M8</f>
        <v>103158</v>
      </c>
      <c r="P8" s="368">
        <v>121533</v>
      </c>
    </row>
    <row r="9" spans="1:16" ht="12.75">
      <c r="A9" s="52"/>
      <c r="B9" s="40"/>
      <c r="C9" s="366"/>
      <c r="D9" s="367"/>
      <c r="E9" s="367"/>
      <c r="F9" s="367"/>
      <c r="G9" s="367"/>
      <c r="H9" s="367"/>
      <c r="I9" s="367"/>
      <c r="J9" s="367"/>
      <c r="K9" s="367"/>
      <c r="L9" s="367"/>
      <c r="M9" s="369"/>
      <c r="N9" s="367"/>
      <c r="O9" s="367"/>
      <c r="P9" s="367"/>
    </row>
    <row r="10" spans="1:16" ht="13.5" thickBot="1">
      <c r="A10" s="52" t="s">
        <v>402</v>
      </c>
      <c r="B10" s="40" t="s">
        <v>433</v>
      </c>
      <c r="C10" s="366">
        <f>'[2]co.pl - klse summary'!B10</f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f>SUM(C10:K10)</f>
        <v>0</v>
      </c>
      <c r="M10" s="367"/>
      <c r="N10" s="367"/>
      <c r="O10" s="368">
        <f>L10</f>
        <v>0</v>
      </c>
      <c r="P10" s="368">
        <f>'[2]cpl - klse 2000'!O10</f>
        <v>0</v>
      </c>
    </row>
    <row r="11" spans="1:16" ht="12.75">
      <c r="A11" s="52"/>
      <c r="B11" s="40"/>
      <c r="C11" s="366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</row>
    <row r="12" spans="1:16" ht="13.5" thickBot="1">
      <c r="A12" s="49" t="s">
        <v>411</v>
      </c>
      <c r="B12" s="40" t="s">
        <v>410</v>
      </c>
      <c r="C12" s="366">
        <v>448</v>
      </c>
      <c r="D12" s="367">
        <v>102</v>
      </c>
      <c r="E12" s="367">
        <v>0</v>
      </c>
      <c r="F12" s="367">
        <v>0</v>
      </c>
      <c r="G12" s="367">
        <v>6</v>
      </c>
      <c r="H12" s="367">
        <v>0</v>
      </c>
      <c r="I12" s="367">
        <v>0</v>
      </c>
      <c r="J12" s="367">
        <v>0</v>
      </c>
      <c r="K12" s="367">
        <v>0</v>
      </c>
      <c r="L12" s="367">
        <f>SUM(C12:K12)</f>
        <v>556</v>
      </c>
      <c r="M12" s="367">
        <v>0</v>
      </c>
      <c r="N12" s="367"/>
      <c r="O12" s="368">
        <f>L12-M12</f>
        <v>556</v>
      </c>
      <c r="P12" s="368">
        <v>362</v>
      </c>
    </row>
    <row r="13" spans="1:16" ht="12.75">
      <c r="A13" s="52"/>
      <c r="B13" s="40"/>
      <c r="C13" s="366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</row>
    <row r="14" spans="1:16" ht="12.75">
      <c r="A14" s="49" t="s">
        <v>412</v>
      </c>
      <c r="B14" s="40" t="s">
        <v>415</v>
      </c>
      <c r="C14" s="366">
        <v>1087</v>
      </c>
      <c r="D14" s="367">
        <v>4937</v>
      </c>
      <c r="E14" s="367">
        <v>2214</v>
      </c>
      <c r="F14" s="367">
        <v>0</v>
      </c>
      <c r="G14" s="367">
        <f>582+292+801</f>
        <v>1675</v>
      </c>
      <c r="H14" s="367">
        <v>8424</v>
      </c>
      <c r="I14" s="367">
        <v>0</v>
      </c>
      <c r="J14" s="367">
        <v>0</v>
      </c>
      <c r="K14" s="367">
        <v>0</v>
      </c>
      <c r="L14" s="367">
        <f>SUM(C14:K14)</f>
        <v>18337</v>
      </c>
      <c r="M14" s="367">
        <v>0</v>
      </c>
      <c r="N14" s="367">
        <v>0</v>
      </c>
      <c r="O14" s="367">
        <f>L14-M14-M15+N14</f>
        <v>18337</v>
      </c>
      <c r="P14" s="370">
        <v>22052</v>
      </c>
    </row>
    <row r="15" spans="1:16" ht="12.75">
      <c r="A15" s="52"/>
      <c r="B15" s="40"/>
      <c r="C15" s="366"/>
      <c r="D15" s="367"/>
      <c r="E15" s="367"/>
      <c r="F15" s="367"/>
      <c r="G15" s="367"/>
      <c r="H15" s="367"/>
      <c r="I15" s="367"/>
      <c r="J15" s="367"/>
      <c r="K15" s="367"/>
      <c r="L15" s="367"/>
      <c r="M15" s="369">
        <v>0</v>
      </c>
      <c r="N15" s="367"/>
      <c r="O15" s="367"/>
      <c r="P15" s="370"/>
    </row>
    <row r="16" spans="1:16" ht="12.75">
      <c r="A16" s="52" t="s">
        <v>402</v>
      </c>
      <c r="B16" s="40" t="s">
        <v>1080</v>
      </c>
      <c r="C16" s="366">
        <v>434</v>
      </c>
      <c r="D16" s="367">
        <v>321</v>
      </c>
      <c r="E16" s="367">
        <v>151</v>
      </c>
      <c r="F16" s="367">
        <v>0</v>
      </c>
      <c r="G16" s="367">
        <v>292</v>
      </c>
      <c r="H16" s="367">
        <v>3012</v>
      </c>
      <c r="I16" s="367">
        <v>0</v>
      </c>
      <c r="J16" s="367">
        <v>0</v>
      </c>
      <c r="K16" s="367">
        <v>0</v>
      </c>
      <c r="L16" s="367">
        <f>SUM(C16:K16)</f>
        <v>4210</v>
      </c>
      <c r="M16" s="369"/>
      <c r="N16" s="367">
        <v>0</v>
      </c>
      <c r="O16" s="367">
        <f>L16-N16</f>
        <v>4210</v>
      </c>
      <c r="P16" s="370">
        <v>2047</v>
      </c>
    </row>
    <row r="17" spans="1:16" ht="12.75">
      <c r="A17" s="52"/>
      <c r="B17" s="40"/>
      <c r="C17" s="366"/>
      <c r="D17" s="367"/>
      <c r="E17" s="367"/>
      <c r="F17" s="367"/>
      <c r="G17" s="367"/>
      <c r="H17" s="367"/>
      <c r="I17" s="367"/>
      <c r="J17" s="367"/>
      <c r="K17" s="367"/>
      <c r="L17" s="367"/>
      <c r="M17" s="369"/>
      <c r="N17" s="367"/>
      <c r="O17" s="367"/>
      <c r="P17" s="370"/>
    </row>
    <row r="18" spans="1:16" ht="12.75">
      <c r="A18" s="49" t="s">
        <v>411</v>
      </c>
      <c r="B18" s="40" t="s">
        <v>1082</v>
      </c>
      <c r="C18" s="366">
        <v>88</v>
      </c>
      <c r="D18" s="367">
        <v>77</v>
      </c>
      <c r="E18" s="367">
        <v>1232</v>
      </c>
      <c r="F18" s="367">
        <v>0</v>
      </c>
      <c r="G18" s="367">
        <v>801</v>
      </c>
      <c r="H18" s="367">
        <f>715</f>
        <v>715</v>
      </c>
      <c r="I18" s="367">
        <v>0</v>
      </c>
      <c r="J18" s="367">
        <v>0</v>
      </c>
      <c r="K18" s="367">
        <v>0</v>
      </c>
      <c r="L18" s="367">
        <f>SUM(C18:K18)</f>
        <v>2913</v>
      </c>
      <c r="M18" s="369">
        <f>541*2</f>
        <v>1082</v>
      </c>
      <c r="N18" s="367"/>
      <c r="O18" s="367">
        <f>L18+M18</f>
        <v>3995</v>
      </c>
      <c r="P18" s="370">
        <v>5014</v>
      </c>
    </row>
    <row r="19" spans="1:16" ht="12.75">
      <c r="A19" s="49"/>
      <c r="B19" s="40"/>
      <c r="C19" s="366"/>
      <c r="D19" s="367"/>
      <c r="E19" s="367"/>
      <c r="F19" s="367"/>
      <c r="G19" s="367"/>
      <c r="H19" s="367"/>
      <c r="I19" s="367"/>
      <c r="J19" s="367"/>
      <c r="K19" s="367"/>
      <c r="L19" s="367"/>
      <c r="M19" s="369"/>
      <c r="N19" s="367"/>
      <c r="O19" s="367"/>
      <c r="P19" s="370"/>
    </row>
    <row r="20" spans="1:16" ht="12.75">
      <c r="A20" s="52" t="s">
        <v>413</v>
      </c>
      <c r="B20" s="40" t="s">
        <v>969</v>
      </c>
      <c r="C20" s="366">
        <f>'[2]co.pl - klse summary'!B20</f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f>SUM(C20:K20)</f>
        <v>0</v>
      </c>
      <c r="M20" s="367"/>
      <c r="N20" s="367"/>
      <c r="O20" s="367">
        <v>0</v>
      </c>
      <c r="P20" s="370">
        <v>0</v>
      </c>
    </row>
    <row r="21" spans="1:16" ht="12.75">
      <c r="A21" s="49"/>
      <c r="B21" s="40"/>
      <c r="C21" s="366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71"/>
      <c r="P21" s="372"/>
    </row>
    <row r="22" spans="1:16" ht="12.75">
      <c r="A22" s="52" t="s">
        <v>414</v>
      </c>
      <c r="B22" s="40" t="s">
        <v>416</v>
      </c>
      <c r="C22" s="366">
        <f aca="true" t="shared" si="0" ref="C22:L22">C14-C16-C18-C20</f>
        <v>565</v>
      </c>
      <c r="D22" s="366">
        <f t="shared" si="0"/>
        <v>4539</v>
      </c>
      <c r="E22" s="366">
        <f t="shared" si="0"/>
        <v>831</v>
      </c>
      <c r="F22" s="366">
        <f t="shared" si="0"/>
        <v>0</v>
      </c>
      <c r="G22" s="366">
        <f t="shared" si="0"/>
        <v>582</v>
      </c>
      <c r="H22" s="366">
        <f t="shared" si="0"/>
        <v>4697</v>
      </c>
      <c r="I22" s="366">
        <f t="shared" si="0"/>
        <v>0</v>
      </c>
      <c r="J22" s="366">
        <f t="shared" si="0"/>
        <v>0</v>
      </c>
      <c r="K22" s="366">
        <f t="shared" si="0"/>
        <v>0</v>
      </c>
      <c r="L22" s="366">
        <f t="shared" si="0"/>
        <v>11214</v>
      </c>
      <c r="M22" s="367">
        <v>1082</v>
      </c>
      <c r="N22" s="367"/>
      <c r="O22" s="367">
        <f>O14-O16-O18-O20</f>
        <v>10132</v>
      </c>
      <c r="P22" s="370">
        <f>P14-P16-P18-P20</f>
        <v>14991</v>
      </c>
    </row>
    <row r="23" spans="1:16" ht="12.75">
      <c r="A23" s="52"/>
      <c r="B23" s="40"/>
      <c r="C23" s="366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70"/>
    </row>
    <row r="24" spans="1:16" ht="12.75">
      <c r="A24" s="52" t="s">
        <v>0</v>
      </c>
      <c r="B24" s="373" t="s">
        <v>970</v>
      </c>
      <c r="C24" s="366">
        <f>'[2]co.pl - klse summary'!B24</f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f>SUM(C24:K24)</f>
        <v>0</v>
      </c>
      <c r="M24" s="367"/>
      <c r="N24" s="367"/>
      <c r="O24" s="374"/>
      <c r="P24" s="370">
        <v>0</v>
      </c>
    </row>
    <row r="25" spans="1:16" ht="12.75">
      <c r="A25" s="52"/>
      <c r="B25" s="40"/>
      <c r="C25" s="366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71"/>
      <c r="P25" s="372"/>
    </row>
    <row r="26" spans="1:16" ht="12.75">
      <c r="A26" s="52" t="s">
        <v>3</v>
      </c>
      <c r="B26" s="40" t="s">
        <v>418</v>
      </c>
      <c r="C26" s="366">
        <f>SUM(C22:C24)</f>
        <v>565</v>
      </c>
      <c r="D26" s="366">
        <f aca="true" t="shared" si="1" ref="D26:L26">SUM(D22:D24)</f>
        <v>4539</v>
      </c>
      <c r="E26" s="366">
        <f t="shared" si="1"/>
        <v>831</v>
      </c>
      <c r="F26" s="366">
        <f t="shared" si="1"/>
        <v>0</v>
      </c>
      <c r="G26" s="366">
        <f>SUM(G22:G24)</f>
        <v>582</v>
      </c>
      <c r="H26" s="366">
        <f t="shared" si="1"/>
        <v>4697</v>
      </c>
      <c r="I26" s="366">
        <f t="shared" si="1"/>
        <v>0</v>
      </c>
      <c r="J26" s="366">
        <f t="shared" si="1"/>
        <v>0</v>
      </c>
      <c r="K26" s="366">
        <f t="shared" si="1"/>
        <v>0</v>
      </c>
      <c r="L26" s="366">
        <f t="shared" si="1"/>
        <v>11214</v>
      </c>
      <c r="M26" s="367">
        <v>1082</v>
      </c>
      <c r="N26" s="367"/>
      <c r="O26" s="367">
        <f>O22+O24</f>
        <v>10132</v>
      </c>
      <c r="P26" s="370">
        <f>P22-P24</f>
        <v>14991</v>
      </c>
    </row>
    <row r="27" spans="1:16" ht="12.75">
      <c r="A27" s="52"/>
      <c r="B27" s="40"/>
      <c r="C27" s="366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70"/>
    </row>
    <row r="28" spans="1:16" ht="12.75">
      <c r="A28" s="49" t="s">
        <v>162</v>
      </c>
      <c r="B28" s="40" t="s">
        <v>7</v>
      </c>
      <c r="C28" s="366">
        <v>198</v>
      </c>
      <c r="D28" s="367">
        <v>1589</v>
      </c>
      <c r="E28" s="367">
        <v>417</v>
      </c>
      <c r="F28" s="367">
        <v>0</v>
      </c>
      <c r="G28" s="367">
        <v>0</v>
      </c>
      <c r="H28" s="367">
        <v>2159</v>
      </c>
      <c r="I28" s="367">
        <v>0</v>
      </c>
      <c r="J28" s="367">
        <v>0</v>
      </c>
      <c r="K28" s="367">
        <v>0</v>
      </c>
      <c r="L28" s="367">
        <f>SUM(C28:K28)</f>
        <v>4363</v>
      </c>
      <c r="M28" s="367"/>
      <c r="N28" s="367"/>
      <c r="O28" s="367">
        <f>L28-N28</f>
        <v>4363</v>
      </c>
      <c r="P28" s="370">
        <v>3121</v>
      </c>
    </row>
    <row r="29" spans="2:16" ht="12.75">
      <c r="B29" s="40"/>
      <c r="C29" s="366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71"/>
      <c r="P29" s="372"/>
    </row>
    <row r="30" spans="1:16" ht="12.75">
      <c r="A30" s="52" t="s">
        <v>652</v>
      </c>
      <c r="B30" s="40" t="s">
        <v>420</v>
      </c>
      <c r="C30" s="366">
        <f>C26-C28</f>
        <v>367</v>
      </c>
      <c r="D30" s="366">
        <f aca="true" t="shared" si="2" ref="D30:L30">D26-D28</f>
        <v>2950</v>
      </c>
      <c r="E30" s="366">
        <f t="shared" si="2"/>
        <v>414</v>
      </c>
      <c r="F30" s="366">
        <f t="shared" si="2"/>
        <v>0</v>
      </c>
      <c r="G30" s="366">
        <f>G26-G28</f>
        <v>582</v>
      </c>
      <c r="H30" s="366">
        <f t="shared" si="2"/>
        <v>2538</v>
      </c>
      <c r="I30" s="366">
        <f t="shared" si="2"/>
        <v>0</v>
      </c>
      <c r="J30" s="366">
        <f t="shared" si="2"/>
        <v>0</v>
      </c>
      <c r="K30" s="366">
        <f t="shared" si="2"/>
        <v>0</v>
      </c>
      <c r="L30" s="366">
        <f t="shared" si="2"/>
        <v>6851</v>
      </c>
      <c r="M30" s="367">
        <v>1082</v>
      </c>
      <c r="N30" s="367"/>
      <c r="O30" s="367">
        <f>O26-O28</f>
        <v>5769</v>
      </c>
      <c r="P30" s="370">
        <f>P26-P28</f>
        <v>11870</v>
      </c>
    </row>
    <row r="31" spans="1:16" ht="12.75">
      <c r="A31" s="49"/>
      <c r="B31" s="40" t="s">
        <v>421</v>
      </c>
      <c r="C31" s="366"/>
      <c r="D31" s="366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24"/>
    </row>
    <row r="32" spans="1:16" ht="12.75">
      <c r="A32" s="49"/>
      <c r="B32" s="40"/>
      <c r="C32" s="366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70"/>
    </row>
    <row r="33" spans="2:16" ht="12.75">
      <c r="B33" s="40" t="s">
        <v>426</v>
      </c>
      <c r="C33" s="366">
        <f>'[2]co.pl - klse summary'!B33</f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f>SUM(C33:K33)</f>
        <v>0</v>
      </c>
      <c r="M33" s="367">
        <f>G30*38.84%</f>
        <v>226.0488</v>
      </c>
      <c r="N33" s="367"/>
      <c r="O33" s="367">
        <f>L33-M34-M33</f>
        <v>-1495.0488</v>
      </c>
      <c r="P33" s="370">
        <v>-2408</v>
      </c>
    </row>
    <row r="34" spans="1:16" ht="12.75">
      <c r="A34" s="49"/>
      <c r="B34" s="40"/>
      <c r="C34" s="366"/>
      <c r="D34" s="367"/>
      <c r="E34" s="367"/>
      <c r="F34" s="367"/>
      <c r="G34" s="367"/>
      <c r="H34" s="367"/>
      <c r="I34" s="367"/>
      <c r="J34" s="367"/>
      <c r="K34" s="367"/>
      <c r="L34" s="367"/>
      <c r="M34" s="367">
        <f>H30*50%</f>
        <v>1269</v>
      </c>
      <c r="N34" s="367"/>
      <c r="O34" s="367"/>
      <c r="P34" s="370"/>
    </row>
    <row r="35" spans="1:16" ht="12.75">
      <c r="A35" s="52" t="s">
        <v>27</v>
      </c>
      <c r="B35" s="40" t="s">
        <v>28</v>
      </c>
      <c r="C35" s="366"/>
      <c r="D35" s="367"/>
      <c r="E35" s="367"/>
      <c r="F35" s="324"/>
      <c r="G35" s="324"/>
      <c r="I35" s="367"/>
      <c r="J35" s="367"/>
      <c r="K35" s="367"/>
      <c r="L35" s="367"/>
      <c r="M35" s="367"/>
      <c r="N35" s="367"/>
      <c r="O35" s="371"/>
      <c r="P35" s="372"/>
    </row>
    <row r="36" spans="2:16" ht="12.75">
      <c r="B36" s="40" t="s">
        <v>432</v>
      </c>
      <c r="C36" s="366">
        <f>C30-C33</f>
        <v>367</v>
      </c>
      <c r="D36" s="366">
        <f>D30-D33</f>
        <v>2950</v>
      </c>
      <c r="E36" s="367">
        <f>+E30-E33</f>
        <v>414</v>
      </c>
      <c r="F36" s="367">
        <f aca="true" t="shared" si="3" ref="F36:K36">F30-F33</f>
        <v>0</v>
      </c>
      <c r="G36" s="367">
        <f t="shared" si="3"/>
        <v>582</v>
      </c>
      <c r="H36" s="367">
        <f t="shared" si="3"/>
        <v>2538</v>
      </c>
      <c r="I36" s="367">
        <f t="shared" si="3"/>
        <v>0</v>
      </c>
      <c r="J36" s="367">
        <f t="shared" si="3"/>
        <v>0</v>
      </c>
      <c r="K36" s="367">
        <f t="shared" si="3"/>
        <v>0</v>
      </c>
      <c r="L36" s="367">
        <f>SUM(C36:K36)</f>
        <v>6851</v>
      </c>
      <c r="M36" s="367"/>
      <c r="N36" s="367"/>
      <c r="O36" s="367">
        <f>O30+O33</f>
        <v>4273.9511999999995</v>
      </c>
      <c r="P36" s="367">
        <f>P30+P33</f>
        <v>9462</v>
      </c>
    </row>
    <row r="37" spans="2:16" ht="12.75">
      <c r="B37" s="40"/>
      <c r="C37" s="366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70"/>
    </row>
    <row r="38" spans="1:16" ht="12.75">
      <c r="A38" s="52" t="s">
        <v>30</v>
      </c>
      <c r="B38" s="40" t="s">
        <v>972</v>
      </c>
      <c r="C38" s="366">
        <f>'[2]co.pl - klse summary'!B38</f>
        <v>0</v>
      </c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7">
        <f>SUM(C38:K38)</f>
        <v>0</v>
      </c>
      <c r="M38" s="367"/>
      <c r="N38" s="367"/>
      <c r="O38" s="367">
        <f>L38</f>
        <v>0</v>
      </c>
      <c r="P38" s="370">
        <f>'[2]cpl - klse 2000'!O38</f>
        <v>0</v>
      </c>
    </row>
    <row r="39" spans="1:16" ht="12.75">
      <c r="A39" s="49"/>
      <c r="B39" s="40"/>
      <c r="C39" s="366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71"/>
      <c r="P39" s="372"/>
    </row>
    <row r="40" spans="1:16" ht="12.75">
      <c r="A40" s="13" t="s">
        <v>35</v>
      </c>
      <c r="B40" s="40" t="s">
        <v>991</v>
      </c>
      <c r="C40" s="366">
        <f>C36-C38</f>
        <v>367</v>
      </c>
      <c r="D40" s="366">
        <f>D36-D38</f>
        <v>2950</v>
      </c>
      <c r="E40" s="366">
        <f>+E36</f>
        <v>414</v>
      </c>
      <c r="F40" s="366">
        <f aca="true" t="shared" si="4" ref="F40:K40">F36-F38</f>
        <v>0</v>
      </c>
      <c r="G40" s="366">
        <f t="shared" si="4"/>
        <v>582</v>
      </c>
      <c r="H40" s="366">
        <f t="shared" si="4"/>
        <v>2538</v>
      </c>
      <c r="I40" s="366">
        <f t="shared" si="4"/>
        <v>0</v>
      </c>
      <c r="J40" s="366">
        <f t="shared" si="4"/>
        <v>0</v>
      </c>
      <c r="K40" s="366">
        <f t="shared" si="4"/>
        <v>0</v>
      </c>
      <c r="L40" s="367">
        <f>SUM(C40:K40)</f>
        <v>6851</v>
      </c>
      <c r="M40" s="367">
        <v>1082</v>
      </c>
      <c r="N40" s="367"/>
      <c r="O40" s="367">
        <f>O36-O38</f>
        <v>4273.9511999999995</v>
      </c>
      <c r="P40" s="370">
        <f>P36-P38</f>
        <v>9462</v>
      </c>
    </row>
    <row r="41" spans="1:16" ht="12.75">
      <c r="A41" s="52"/>
      <c r="B41" s="40"/>
      <c r="C41" s="366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70"/>
    </row>
    <row r="42" spans="1:16" ht="12.75">
      <c r="A42" s="49"/>
      <c r="B42" s="40" t="s">
        <v>992</v>
      </c>
      <c r="C42" s="366">
        <v>7680</v>
      </c>
      <c r="D42" s="367">
        <v>17559</v>
      </c>
      <c r="E42" s="367">
        <v>18067</v>
      </c>
      <c r="F42" s="367">
        <v>5</v>
      </c>
      <c r="G42" s="367">
        <v>-25821</v>
      </c>
      <c r="H42" s="367">
        <v>43983</v>
      </c>
      <c r="I42" s="367">
        <v>-49</v>
      </c>
      <c r="J42" s="367">
        <v>-357</v>
      </c>
      <c r="K42" s="367">
        <v>874</v>
      </c>
      <c r="L42" s="367">
        <f>SUM(C42:K42)</f>
        <v>61941</v>
      </c>
      <c r="M42" s="367"/>
      <c r="N42" s="367" t="s">
        <v>380</v>
      </c>
      <c r="O42" s="367">
        <v>56388</v>
      </c>
      <c r="P42" s="370">
        <v>40428</v>
      </c>
    </row>
    <row r="43" spans="1:16" ht="12.75">
      <c r="A43" s="49"/>
      <c r="B43" s="40" t="s">
        <v>974</v>
      </c>
      <c r="C43" s="366">
        <v>0</v>
      </c>
      <c r="D43" s="367">
        <v>0</v>
      </c>
      <c r="E43" s="367">
        <v>0</v>
      </c>
      <c r="F43" s="367">
        <v>0</v>
      </c>
      <c r="G43" s="367">
        <v>0</v>
      </c>
      <c r="H43" s="367">
        <v>0</v>
      </c>
      <c r="I43" s="367">
        <v>0</v>
      </c>
      <c r="J43" s="367">
        <v>0</v>
      </c>
      <c r="K43" s="367">
        <v>0</v>
      </c>
      <c r="L43" s="367">
        <v>0</v>
      </c>
      <c r="M43" s="367"/>
      <c r="N43" s="367"/>
      <c r="O43" s="367">
        <v>0</v>
      </c>
      <c r="P43" s="370">
        <v>0</v>
      </c>
    </row>
    <row r="44" spans="1:16" ht="12.75">
      <c r="A44" s="49"/>
      <c r="C44" s="366"/>
      <c r="D44" s="366"/>
      <c r="E44" s="366"/>
      <c r="F44" s="366"/>
      <c r="G44" s="366"/>
      <c r="H44" s="367"/>
      <c r="I44" s="367"/>
      <c r="J44" s="367"/>
      <c r="K44" s="367"/>
      <c r="L44" s="367"/>
      <c r="M44" s="367"/>
      <c r="N44" s="367"/>
      <c r="O44" s="367"/>
      <c r="P44" s="370"/>
    </row>
    <row r="45" spans="1:16" ht="13.5" thickBot="1">
      <c r="A45" s="60"/>
      <c r="B45" s="36" t="s">
        <v>941</v>
      </c>
      <c r="C45" s="375">
        <f>C40+C42</f>
        <v>8047</v>
      </c>
      <c r="D45" s="371">
        <f>D40+D42</f>
        <v>20509</v>
      </c>
      <c r="E45" s="371">
        <f>SUM(E40:E43)</f>
        <v>18481</v>
      </c>
      <c r="F45" s="376">
        <f>F40+F42</f>
        <v>5</v>
      </c>
      <c r="G45" s="376">
        <f>G40+G42</f>
        <v>-25239</v>
      </c>
      <c r="H45" s="371">
        <f>SUM(H40:H44)</f>
        <v>46521</v>
      </c>
      <c r="I45" s="371">
        <f>I40+I42</f>
        <v>-49</v>
      </c>
      <c r="J45" s="371">
        <f>J40+J42</f>
        <v>-357</v>
      </c>
      <c r="K45" s="371">
        <f>K40+K42</f>
        <v>874</v>
      </c>
      <c r="L45" s="371">
        <f>SUM(L40:L44)</f>
        <v>68792</v>
      </c>
      <c r="M45" s="371"/>
      <c r="N45" s="371"/>
      <c r="O45" s="377">
        <f>SUM(O40:O44)</f>
        <v>60661.951199999996</v>
      </c>
      <c r="P45" s="378">
        <f>SUM(P40:P43)</f>
        <v>49890</v>
      </c>
    </row>
    <row r="46" spans="1:15" ht="12.75">
      <c r="A46" s="13"/>
      <c r="B46" s="1" t="s">
        <v>640</v>
      </c>
      <c r="C46" s="1"/>
      <c r="D46" s="1"/>
      <c r="E46" s="1"/>
      <c r="F46" s="1"/>
      <c r="G46" s="1"/>
      <c r="H46" s="1"/>
      <c r="I46" s="1"/>
      <c r="K46" s="11"/>
      <c r="L46" s="11"/>
      <c r="M46" s="11"/>
      <c r="O46" s="11"/>
    </row>
    <row r="47" spans="1:15" ht="12.75">
      <c r="A47" s="13"/>
      <c r="B47" s="2" t="s">
        <v>641</v>
      </c>
      <c r="C47" s="1"/>
      <c r="D47" s="1"/>
      <c r="E47" s="1"/>
      <c r="F47" s="1"/>
      <c r="G47" s="1"/>
      <c r="H47" s="1"/>
      <c r="I47" s="1"/>
      <c r="K47" s="11"/>
      <c r="L47" s="2" t="s">
        <v>644</v>
      </c>
      <c r="O47" s="11"/>
    </row>
    <row r="48" spans="1:15" ht="12.75">
      <c r="A48" s="13"/>
      <c r="B48" s="1" t="s">
        <v>9</v>
      </c>
      <c r="C48" s="1"/>
      <c r="D48" s="1"/>
      <c r="E48" s="1" t="s">
        <v>11</v>
      </c>
      <c r="F48" s="1"/>
      <c r="H48" s="11" t="s">
        <v>12</v>
      </c>
      <c r="I48" s="11"/>
      <c r="L48" s="1" t="s">
        <v>10</v>
      </c>
      <c r="M48" s="11"/>
      <c r="N48" s="11"/>
      <c r="O48" s="11"/>
    </row>
    <row r="49" spans="1:15" ht="12.75">
      <c r="A49" s="13"/>
      <c r="B49" s="1" t="s">
        <v>158</v>
      </c>
      <c r="C49" s="1"/>
      <c r="D49" s="1"/>
      <c r="E49" s="1" t="s">
        <v>159</v>
      </c>
      <c r="F49" s="1"/>
      <c r="H49" s="11" t="s">
        <v>13</v>
      </c>
      <c r="I49" s="11"/>
      <c r="L49" s="1" t="s">
        <v>942</v>
      </c>
      <c r="M49" s="11"/>
      <c r="N49" s="11"/>
      <c r="O49" s="11"/>
    </row>
    <row r="50" spans="1:15" ht="12.75">
      <c r="A50" s="13"/>
      <c r="B50" s="1"/>
      <c r="C50" s="1"/>
      <c r="D50" s="1"/>
      <c r="E50" s="1"/>
      <c r="F50" s="1"/>
      <c r="H50" s="11"/>
      <c r="I50" s="11"/>
      <c r="M50" s="11"/>
      <c r="N50" s="11"/>
      <c r="O50" s="11"/>
    </row>
    <row r="51" spans="1:15" ht="12.75">
      <c r="A51" s="13"/>
      <c r="B51" s="1"/>
      <c r="C51" s="1"/>
      <c r="D51" s="1"/>
      <c r="E51" s="1"/>
      <c r="F51" s="1"/>
      <c r="H51" s="11"/>
      <c r="I51" s="11"/>
      <c r="M51" s="11"/>
      <c r="N51" s="11"/>
      <c r="O51" s="11"/>
    </row>
    <row r="52" spans="1:15" ht="12.75">
      <c r="A52" s="1"/>
      <c r="D52" s="1"/>
      <c r="E52" s="2"/>
      <c r="F52" s="1"/>
      <c r="G52" s="1"/>
      <c r="H52" s="1"/>
      <c r="I52" s="1"/>
      <c r="K52" s="11"/>
      <c r="L52" s="11"/>
      <c r="M52" s="11"/>
      <c r="N52" s="11"/>
      <c r="O52" s="11"/>
    </row>
    <row r="53" spans="1:15" ht="12.75">
      <c r="A53" s="1"/>
      <c r="D53" s="1"/>
      <c r="E53" s="1"/>
      <c r="F53" s="1"/>
      <c r="G53" s="1"/>
      <c r="H53" s="1"/>
      <c r="I53" s="1"/>
      <c r="K53" s="64"/>
      <c r="L53" s="170"/>
      <c r="M53" s="64"/>
      <c r="N53" s="64"/>
      <c r="O53" s="11"/>
    </row>
    <row r="54" ht="12.75">
      <c r="E54" s="1"/>
    </row>
  </sheetData>
  <mergeCells count="1">
    <mergeCell ref="M4:N4"/>
  </mergeCells>
  <printOptions/>
  <pageMargins left="0.75" right="0.75" top="1" bottom="1" header="0.5" footer="0.5"/>
  <pageSetup horizontalDpi="360" verticalDpi="36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 Berhad</dc:creator>
  <cp:keywords/>
  <dc:description/>
  <cp:lastModifiedBy>Pn. Sharifah Hanizah</cp:lastModifiedBy>
  <cp:lastPrinted>2002-08-21T09:08:34Z</cp:lastPrinted>
  <dcterms:created xsi:type="dcterms:W3CDTF">1999-10-14T04:55:44Z</dcterms:created>
  <dcterms:modified xsi:type="dcterms:W3CDTF">2002-08-22T01:02:24Z</dcterms:modified>
  <cp:category/>
  <cp:version/>
  <cp:contentType/>
  <cp:contentStatus/>
</cp:coreProperties>
</file>